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drawings/drawing1.xml" ContentType="application/vnd.openxmlformats-officedocument.drawing+xml"/>
  <Override PartName="/xl/worksheets/sheet7.xml" ContentType="application/vnd.openxmlformats-officedocument.spreadsheetml.worksheet+xml"/>
  <Override PartName="/xl/worksheets/sheet8.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Setup" sheetId="2" state="visible" r:id="rId2"/>
    <sheet xmlns:r="http://schemas.openxmlformats.org/officeDocument/2006/relationships" name="Reps" sheetId="3" state="visible" r:id="rId3"/>
    <sheet xmlns:r="http://schemas.openxmlformats.org/officeDocument/2006/relationships" name="Actuals" sheetId="4" state="visible" r:id="rId4"/>
    <sheet xmlns:r="http://schemas.openxmlformats.org/officeDocument/2006/relationships" name="Calc" sheetId="5" state="visible" r:id="rId5"/>
    <sheet xmlns:r="http://schemas.openxmlformats.org/officeDocument/2006/relationships" name="Scorecard" sheetId="6" state="visible" r:id="rId6"/>
    <sheet xmlns:r="http://schemas.openxmlformats.org/officeDocument/2006/relationships" name="Rep view" sheetId="7" state="visible" r:id="rId7"/>
    <sheet xmlns:r="http://schemas.openxmlformats.org/officeDocument/2006/relationships" name="Team" sheetId="8" state="visible" r:id="rId8"/>
  </sheets>
  <definedNames/>
  <calcPr calcId="124519" fullCalcOnLoad="1"/>
</workbook>
</file>

<file path=xl/styles.xml><?xml version="1.0" encoding="utf-8"?>
<styleSheet xmlns="http://schemas.openxmlformats.org/spreadsheetml/2006/main">
  <numFmts count="4">
    <numFmt numFmtId="164" formatCode="yyyy-mm-dd"/>
    <numFmt numFmtId="165" formatCode="0.0"/>
    <numFmt numFmtId="166" formatCode="0.0%;[Red]-0.0%;&quot;-&quot;"/>
    <numFmt numFmtId="167" formatCode="#,##0;[Red]-#,##0;&quot;-&quot;"/>
  </numFmts>
  <fonts count="5">
    <font>
      <name val="Calibri"/>
      <family val="2"/>
      <color theme="1"/>
      <sz val="11"/>
      <scheme val="minor"/>
    </font>
    <font>
      <b val="1"/>
      <sz val="14"/>
    </font>
    <font>
      <i val="1"/>
      <color rgb="004B5563"/>
    </font>
    <font>
      <b val="1"/>
    </font>
    <font>
      <b val="1"/>
      <color rgb="00FFFFFF"/>
    </font>
  </fonts>
  <fills count="6">
    <fill>
      <patternFill/>
    </fill>
    <fill>
      <patternFill patternType="gray125"/>
    </fill>
    <fill>
      <patternFill patternType="solid">
        <fgColor rgb="00FFF2CC"/>
      </patternFill>
    </fill>
    <fill>
      <patternFill patternType="solid">
        <fgColor rgb="001F2A37"/>
      </patternFill>
    </fill>
    <fill>
      <patternFill patternType="solid">
        <fgColor rgb="00F2F2F2"/>
      </patternFill>
    </fill>
    <fill>
      <patternFill patternType="solid">
        <fgColor rgb="00EEF1F4"/>
      </patternFill>
    </fill>
  </fills>
  <borders count="1">
    <border>
      <left/>
      <right/>
      <top/>
      <bottom/>
      <diagonal/>
    </border>
  </borders>
  <cellStyleXfs count="1">
    <xf numFmtId="0" fontId="0" fillId="0" borderId="0"/>
  </cellStyleXfs>
  <cellXfs count="24">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0" fillId="2" borderId="0" pivotButton="0" quotePrefix="0" xfId="0"/>
    <xf numFmtId="164" fontId="0" fillId="2" borderId="0" pivotButton="0" quotePrefix="0" xfId="0"/>
    <xf numFmtId="1" fontId="0" fillId="2" borderId="0" pivotButton="0" quotePrefix="0" xfId="0"/>
    <xf numFmtId="165" fontId="0" fillId="2" borderId="0" pivotButton="0" quotePrefix="0" xfId="0"/>
    <xf numFmtId="0" fontId="4" fillId="3" borderId="0" applyAlignment="1" pivotButton="0" quotePrefix="0" xfId="0">
      <alignment horizontal="left" vertical="center" wrapText="1"/>
    </xf>
    <xf numFmtId="0" fontId="4" fillId="3" borderId="0" applyAlignment="1" pivotButton="0" quotePrefix="0" xfId="0">
      <alignment horizontal="center" vertical="center" wrapText="1"/>
    </xf>
    <xf numFmtId="166" fontId="0" fillId="2" borderId="0" pivotButton="0" quotePrefix="0" xfId="0"/>
    <xf numFmtId="1" fontId="0" fillId="4" borderId="0" pivotButton="0" quotePrefix="0" xfId="0"/>
    <xf numFmtId="0" fontId="0" fillId="4" borderId="0" pivotButton="0" quotePrefix="0" xfId="0"/>
    <xf numFmtId="167" fontId="0" fillId="2" borderId="0" pivotButton="0" quotePrefix="0" xfId="0"/>
    <xf numFmtId="166" fontId="0" fillId="4" borderId="0" pivotButton="0" quotePrefix="0" xfId="0"/>
    <xf numFmtId="165" fontId="0" fillId="4" borderId="0" pivotButton="0" quotePrefix="0" xfId="0"/>
    <xf numFmtId="0" fontId="3" fillId="4" borderId="0" pivotButton="0" quotePrefix="0" xfId="0"/>
    <xf numFmtId="166" fontId="3" fillId="4" borderId="0" pivotButton="0" quotePrefix="0" xfId="0"/>
    <xf numFmtId="165" fontId="3" fillId="4" borderId="0" pivotButton="0" quotePrefix="0" xfId="0"/>
    <xf numFmtId="1" fontId="3" fillId="4" borderId="0" pivotButton="0" quotePrefix="0" xfId="0"/>
    <xf numFmtId="0" fontId="3" fillId="5" borderId="0" pivotButton="0" quotePrefix="0" xfId="0"/>
    <xf numFmtId="0" fontId="0" fillId="5" borderId="0" pivotButton="0" quotePrefix="0" xfId="0"/>
    <xf numFmtId="167" fontId="0" fillId="4" borderId="0" pivotButton="0" quotePrefix="0" xfId="0"/>
  </cellXfs>
  <cellStyles count="1">
    <cellStyle name="Normal" xfId="0" builtinId="0" hidden="0"/>
  </cellStyles>
  <dxfs count="4">
    <dxf>
      <fill>
        <patternFill patternType="solid">
          <fgColor rgb="00D9F2E3"/>
        </patternFill>
      </fill>
    </dxf>
    <dxf>
      <fill>
        <patternFill patternType="solid">
          <fgColor rgb="00E8F4FB"/>
        </patternFill>
      </fill>
    </dxf>
    <dxf>
      <fill>
        <patternFill patternType="solid">
          <fgColor rgb="00FFF4D6"/>
        </patternFill>
      </fill>
    </dxf>
    <dxf>
      <fill>
        <patternFill patternType="solid">
          <fgColor rgb="00FBE3E1"/>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Weighted score by rep (100 = on target)</a:t>
            </a:r>
          </a:p>
        </rich>
      </tx>
    </title>
    <plotArea>
      <barChart>
        <barDir val="bar"/>
        <grouping val="clustered"/>
        <ser>
          <idx val="0"/>
          <order val="0"/>
          <tx>
            <strRef>
              <f>'Scorecard'!K4</f>
            </strRef>
          </tx>
          <spPr>
            <a:ln xmlns:a="http://schemas.openxmlformats.org/drawingml/2006/main">
              <a:prstDash val="solid"/>
            </a:ln>
          </spPr>
          <cat>
            <numRef>
              <f>'Scorecard'!$A$5:$A$12</f>
            </numRef>
          </cat>
          <val>
            <numRef>
              <f>'Scorecard'!$K$5:$K$12</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Score</a:t>
                </a:r>
              </a:p>
            </rich>
          </tx>
        </title>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16</col>
      <colOff>0</colOff>
      <row>3</row>
      <rowOff>0</rowOff>
    </from>
    <ext cx="576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6.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B18"/>
  <sheetViews>
    <sheetView showGridLines="0" workbookViewId="0">
      <selection activeCell="A1" sqref="A1"/>
    </sheetView>
  </sheetViews>
  <sheetFormatPr baseColWidth="8" defaultRowHeight="15"/>
  <cols>
    <col width="24" customWidth="1" min="1" max="1"/>
    <col width="110" customWidth="1" min="2" max="2"/>
  </cols>
  <sheetData>
    <row r="1">
      <c r="A1" s="1" t="inlineStr">
        <is>
          <t>ORM Sales Rep Scorecard Template</t>
        </is>
      </c>
    </row>
    <row r="2">
      <c r="A2" s="2" t="inlineStr">
        <is>
          <t>Free from orm-tech.com/tools/sales-scorecard-template/. Opens in Excel and Google Sheets. No macros.</t>
        </is>
      </c>
    </row>
    <row r="4" ht="46" customHeight="1">
      <c r="A4" s="3" t="inlineStr">
        <is>
          <t>What it does</t>
        </is>
      </c>
      <c r="B4" s="4" t="inlineStr">
        <is>
          <t>Scores each rep on six weighted metrics, outcome and leading, against floors and targets you set per role. One weighted score per rep, a rating, a rank, and the one metric costing the most points.</t>
        </is>
      </c>
    </row>
    <row r="5" ht="46" customHeight="1">
      <c r="A5" s="3" t="inlineStr">
        <is>
          <t>Colors</t>
        </is>
      </c>
      <c r="B5" s="4" t="inlineStr">
        <is>
          <t>Yellow cells are inputs. Grey cells are formulas: do not type over them.</t>
        </is>
      </c>
    </row>
    <row r="6" ht="46" customHeight="1">
      <c r="A6" s="3" t="inlineStr">
        <is>
          <t>1. Setup</t>
        </is>
      </c>
      <c r="B6" s="4" t="inlineStr">
        <is>
          <t>Name the period. Check the three role profiles and, for each, the weight, floor (score 0), target (score 100) and max score of every metric. Weights per profile should add to 100. Set a weight to 0 to drop a metric.</t>
        </is>
      </c>
    </row>
    <row r="7" ht="46" customHeight="1">
      <c r="A7" s="3" t="inlineStr">
        <is>
          <t>2. Reps</t>
        </is>
      </c>
      <c r="B7" s="4" t="inlineStr">
        <is>
          <t>One row per rep: name, team, profile (dropdown), tenure in months, FULL quarterly quota, pipeline created target. Use the full quota for ramping reps; the Ramping AE profile sets a lower target instead.</t>
        </is>
      </c>
    </row>
    <row r="8" ht="46" customHeight="1">
      <c r="A8" s="3" t="inlineStr">
        <is>
          <t>3. Actuals</t>
        </is>
      </c>
      <c r="B8" s="4" t="inlineStr">
        <is>
          <t>Same row order as Reps. Enter the quarter's bookings, pipeline created, Stage 2 exits and advances, wins and losses, the commit the rep called at the snapshot, open deals and stale open deals. Leave a cell blank if you do not have it: that metric drops out and the rep's other weights are rescaled.</t>
        </is>
      </c>
    </row>
    <row r="9" ht="46" customHeight="1">
      <c r="A9" s="3" t="inlineStr">
        <is>
          <t>4. Scorecard</t>
        </is>
      </c>
      <c r="B9" s="4" t="inlineStr">
        <is>
          <t>The team view: every rep's six rates, weighted score, rating, rank, rank on attainment alone, and coaching focus. A chart ranks the weighted scores.</t>
        </is>
      </c>
    </row>
    <row r="10" ht="46" customHeight="1">
      <c r="A10" s="3" t="inlineStr">
        <is>
          <t>5. Rep view</t>
        </is>
      </c>
      <c r="B10" s="4" t="inlineStr">
        <is>
          <t>Pick a rep in B4 for the one-on-one page: each metric's actual, floor, target, score, weight, points and points below target.</t>
        </is>
      </c>
    </row>
    <row r="11" ht="46" customHeight="1">
      <c r="A11" s="3" t="inlineStr">
        <is>
          <t>6. Team</t>
        </is>
      </c>
      <c r="B11" s="4" t="inlineStr">
        <is>
          <t>Team totals, attainment distribution, ratings count, averages by profile, and team vs rep forecast accuracy.</t>
        </is>
      </c>
    </row>
    <row r="12" ht="46" customHeight="1">
      <c r="A12" s="3" t="inlineStr">
        <is>
          <t>How a metric is scored</t>
        </is>
      </c>
      <c r="B12" s="4" t="inlineStr">
        <is>
          <t>Score = (actual - floor) / (target - floor) x 100, then kept between 0 and the max score. At the floor a rep scores 0, at target 100. The same formula handles lower-is-better metrics (stale pipeline): set the floor above the target.</t>
        </is>
      </c>
    </row>
    <row r="13" ht="46" customHeight="1">
      <c r="A13" s="3" t="inlineStr">
        <is>
          <t>Weighted score</t>
        </is>
      </c>
      <c r="B13" s="4" t="inlineStr">
        <is>
          <t>Sum of weight x score over the metrics that have data, divided by the sum of those weights. 100 means on target across the board.</t>
        </is>
      </c>
    </row>
    <row r="14" ht="46" customHeight="1">
      <c r="A14" s="3" t="inlineStr">
        <is>
          <t>Coaching focus</t>
        </is>
      </c>
      <c r="B14" s="4" t="inlineStr">
        <is>
          <t>The metric with the most points below target (weight x shortfall). It is where the next conversation should start, not a verdict.</t>
        </is>
      </c>
    </row>
    <row r="15" ht="46" customHeight="1">
      <c r="A15" s="3" t="inlineStr">
        <is>
          <t>Forecast accuracy</t>
        </is>
      </c>
      <c r="B15" s="4" t="inlineStr">
        <is>
          <t>1 - |bookings - commit| / bookings, floored at 0. A commit called on zero bookings scores 0%. Bias shows Under-called (sandbagging) or Over-called (optimism). Team accuracy can look better than the reps because their misses offset.</t>
        </is>
      </c>
    </row>
    <row r="16" ht="46" customHeight="1">
      <c r="A16" s="3" t="inlineStr">
        <is>
          <t>Stale pipeline</t>
        </is>
      </c>
      <c r="B16" s="4" t="inlineStr">
        <is>
          <t>An open deal is stale when nothing meaningful changed in the stale window: no change to stage, close date or amount. Window is on Setup (30 days in the example).</t>
        </is>
      </c>
    </row>
    <row r="17" ht="46" customHeight="1">
      <c r="A17" s="3" t="inlineStr">
        <is>
          <t>Google Sheets</t>
        </is>
      </c>
      <c r="B17" s="4" t="inlineStr">
        <is>
          <t>Upload the file to Drive and choose Open with &gt; Google Sheets, or File &gt; Import in Sheets. Every formula uses functions both apps share (SUMIFS, COUNTIF, INDEX, MATCH, MEDIAN, IFERROR).</t>
        </is>
      </c>
    </row>
    <row r="18" ht="46" customHeight="1">
      <c r="A18" s="3" t="inlineStr">
        <is>
          <t>Example data</t>
        </is>
      </c>
      <c r="B18" s="4" t="inlineStr">
        <is>
          <t>The example file holds an illustrative eight-rep team for Q3 2026. Names and numbers are made up to show the mechanics. The blank file has the same formulas and the default profiles.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33"/>
  <sheetViews>
    <sheetView showGridLines="1" workbookViewId="0">
      <selection activeCell="A1" sqref="A1"/>
    </sheetView>
  </sheetViews>
  <sheetFormatPr baseColWidth="8" defaultRowHeight="15"/>
  <cols>
    <col width="20" customWidth="1" min="1" max="1"/>
    <col width="20" customWidth="1" min="2" max="2"/>
    <col width="10" customWidth="1" min="3" max="3"/>
    <col width="9" customWidth="1" min="4" max="4"/>
    <col width="13" customWidth="1" min="5" max="5"/>
    <col width="13" customWidth="1" min="6" max="6"/>
    <col width="10" customWidth="1" min="7" max="7"/>
    <col width="70" customWidth="1" min="8" max="8"/>
    <col width="3" customWidth="1" min="9" max="9"/>
    <col width="16" customWidth="1" min="10" max="10"/>
    <col width="14" customWidth="1" min="11" max="11"/>
    <col width="24" customWidth="1" min="12" max="12"/>
  </cols>
  <sheetData>
    <row r="1">
      <c r="A1" s="1" t="inlineStr">
        <is>
          <t>Setup</t>
        </is>
      </c>
    </row>
    <row r="2">
      <c r="A2" s="2" t="inlineStr">
        <is>
          <t>Period, rating bands, and the metric table by role profile. Yellow cells are inputs.</t>
        </is>
      </c>
    </row>
    <row r="4">
      <c r="A4" t="inlineStr">
        <is>
          <t>Period name</t>
        </is>
      </c>
      <c r="B4" s="5" t="inlineStr">
        <is>
          <t>Q3 2026</t>
        </is>
      </c>
    </row>
    <row r="5">
      <c r="A5" t="inlineStr">
        <is>
          <t>Period start</t>
        </is>
      </c>
      <c r="B5" s="6" t="n">
        <v>46204</v>
      </c>
    </row>
    <row r="6">
      <c r="A6" t="inlineStr">
        <is>
          <t>Period end</t>
        </is>
      </c>
      <c r="B6" s="6" t="n">
        <v>46295</v>
      </c>
    </row>
    <row r="7">
      <c r="A7" t="inlineStr">
        <is>
          <t>Commit snapshot</t>
        </is>
      </c>
      <c r="B7" s="5" t="inlineStr">
        <is>
          <t>End of week 4</t>
        </is>
      </c>
    </row>
    <row r="8">
      <c r="A8" t="inlineStr">
        <is>
          <t>Stale window (days)</t>
        </is>
      </c>
      <c r="B8" s="7" t="n">
        <v>30</v>
      </c>
      <c r="C8" s="2" t="inlineStr">
        <is>
          <t>No change to stage, close date or amount in this many days = stale</t>
        </is>
      </c>
    </row>
    <row r="9">
      <c r="A9" s="3" t="inlineStr">
        <is>
          <t>Rating bands</t>
        </is>
      </c>
      <c r="B9" s="3" t="inlineStr">
        <is>
          <t>Minimum score</t>
        </is>
      </c>
    </row>
    <row r="10">
      <c r="A10" s="5" t="inlineStr">
        <is>
          <t>Ahead</t>
        </is>
      </c>
      <c r="B10" s="8" t="n">
        <v>100</v>
      </c>
    </row>
    <row r="11">
      <c r="A11" s="5" t="inlineStr">
        <is>
          <t>On track</t>
        </is>
      </c>
      <c r="B11" s="8" t="n">
        <v>85</v>
      </c>
    </row>
    <row r="12">
      <c r="A12" s="5" t="inlineStr">
        <is>
          <t>Watch</t>
        </is>
      </c>
      <c r="B12" s="8" t="n">
        <v>70</v>
      </c>
    </row>
    <row r="13">
      <c r="A13" s="5" t="inlineStr">
        <is>
          <t>Coach now</t>
        </is>
      </c>
      <c r="B13" s="2" t="inlineStr">
        <is>
          <t>Below the last band</t>
        </is>
      </c>
    </row>
    <row r="15" ht="32" customHeight="1">
      <c r="A15" s="9" t="inlineStr">
        <is>
          <t>Profile</t>
        </is>
      </c>
      <c r="B15" s="10" t="inlineStr">
        <is>
          <t>Metric</t>
        </is>
      </c>
      <c r="C15" s="10" t="inlineStr">
        <is>
          <t>Type</t>
        </is>
      </c>
      <c r="D15" s="10" t="inlineStr">
        <is>
          <t>Weight</t>
        </is>
      </c>
      <c r="E15" s="10" t="inlineStr">
        <is>
          <t>Floor (score 0)</t>
        </is>
      </c>
      <c r="F15" s="10" t="inlineStr">
        <is>
          <t>Target (score 100)</t>
        </is>
      </c>
      <c r="G15" s="10" t="inlineStr">
        <is>
          <t>Max score</t>
        </is>
      </c>
      <c r="H15" s="10" t="inlineStr">
        <is>
          <t>How it is measured</t>
        </is>
      </c>
      <c r="J15" s="9" t="inlineStr">
        <is>
          <t>Profile</t>
        </is>
      </c>
      <c r="K15" s="10" t="inlineStr">
        <is>
          <t>Weights total</t>
        </is>
      </c>
    </row>
    <row r="16">
      <c r="A16" t="inlineStr">
        <is>
          <t>Ramped AE</t>
        </is>
      </c>
      <c r="B16" t="inlineStr">
        <is>
          <t>Quota attainment</t>
        </is>
      </c>
      <c r="C16" t="inlineStr">
        <is>
          <t>Outcome</t>
        </is>
      </c>
      <c r="D16" s="7" t="n">
        <v>35</v>
      </c>
      <c r="E16" s="11" t="n">
        <v>0.5</v>
      </c>
      <c r="F16" s="11" t="n">
        <v>1</v>
      </c>
      <c r="G16" s="7" t="n">
        <v>120</v>
      </c>
      <c r="H16" s="2" t="inlineStr">
        <is>
          <t>Bookings counted to quota / full quarterly quota</t>
        </is>
      </c>
      <c r="J16" t="inlineStr">
        <is>
          <t>Ramped AE</t>
        </is>
      </c>
      <c r="K16" s="12">
        <f>SUMIFS($D$16:$D$33,$A$16:$A$33,J16)</f>
        <v/>
      </c>
      <c r="L16" s="13">
        <f>IF(K16=100,"OK","Weights should add to 100")</f>
        <v/>
      </c>
    </row>
    <row r="17">
      <c r="A17" t="inlineStr">
        <is>
          <t>Ramped AE</t>
        </is>
      </c>
      <c r="B17" t="inlineStr">
        <is>
          <t>Pipeline created</t>
        </is>
      </c>
      <c r="C17" t="inlineStr">
        <is>
          <t>Leading</t>
        </is>
      </c>
      <c r="D17" s="7" t="n">
        <v>20</v>
      </c>
      <c r="E17" s="11" t="n">
        <v>0.5</v>
      </c>
      <c r="F17" s="11" t="n">
        <v>1</v>
      </c>
      <c r="G17" s="7" t="n">
        <v>120</v>
      </c>
      <c r="H17" s="2" t="inlineStr">
        <is>
          <t>Pipeline created in the quarter / pipeline target</t>
        </is>
      </c>
      <c r="J17" t="inlineStr">
        <is>
          <t>Ramping AE</t>
        </is>
      </c>
      <c r="K17" s="12">
        <f>SUMIFS($D$16:$D$33,$A$16:$A$33,J17)</f>
        <v/>
      </c>
      <c r="L17" s="13">
        <f>IF(K17=100,"OK","Weights should add to 100")</f>
        <v/>
      </c>
    </row>
    <row r="18">
      <c r="A18" t="inlineStr">
        <is>
          <t>Ramped AE</t>
        </is>
      </c>
      <c r="B18" t="inlineStr">
        <is>
          <t>Stage conversion</t>
        </is>
      </c>
      <c r="C18" t="inlineStr">
        <is>
          <t>Leading</t>
        </is>
      </c>
      <c r="D18" s="7" t="n">
        <v>15</v>
      </c>
      <c r="E18" s="11" t="n">
        <v>0.3</v>
      </c>
      <c r="F18" s="11" t="n">
        <v>0.5</v>
      </c>
      <c r="G18" s="7" t="n">
        <v>120</v>
      </c>
      <c r="H18" s="2" t="inlineStr">
        <is>
          <t>Deals that advanced out of Stage 2 / all deals that left Stage 2 (advanced or lost)</t>
        </is>
      </c>
      <c r="J18" t="inlineStr">
        <is>
          <t>Enterprise AE</t>
        </is>
      </c>
      <c r="K18" s="12">
        <f>SUMIFS($D$16:$D$33,$A$16:$A$33,J18)</f>
        <v/>
      </c>
      <c r="L18" s="13">
        <f>IF(K18=100,"OK","Weights should add to 100")</f>
        <v/>
      </c>
    </row>
    <row r="19">
      <c r="A19" t="inlineStr">
        <is>
          <t>Ramped AE</t>
        </is>
      </c>
      <c r="B19" t="inlineStr">
        <is>
          <t>Win rate</t>
        </is>
      </c>
      <c r="C19" t="inlineStr">
        <is>
          <t>Outcome</t>
        </is>
      </c>
      <c r="D19" s="7" t="n">
        <v>10</v>
      </c>
      <c r="E19" s="11" t="n">
        <v>0.12</v>
      </c>
      <c r="F19" s="11" t="n">
        <v>0.25</v>
      </c>
      <c r="G19" s="7" t="n">
        <v>120</v>
      </c>
      <c r="H19" s="2" t="inlineStr">
        <is>
          <t>Won / (won + lost), deals decided in the quarter</t>
        </is>
      </c>
    </row>
    <row r="20">
      <c r="A20" t="inlineStr">
        <is>
          <t>Ramped AE</t>
        </is>
      </c>
      <c r="B20" t="inlineStr">
        <is>
          <t>Forecast accuracy</t>
        </is>
      </c>
      <c r="C20" t="inlineStr">
        <is>
          <t>Outcome</t>
        </is>
      </c>
      <c r="D20" s="7" t="n">
        <v>10</v>
      </c>
      <c r="E20" s="11" t="n">
        <v>0.7</v>
      </c>
      <c r="F20" s="11" t="n">
        <v>0.9</v>
      </c>
      <c r="G20" s="7" t="n">
        <v>110</v>
      </c>
      <c r="H20" s="2" t="inlineStr">
        <is>
          <t>1 - |bookings - commit| / bookings, commit called at the snapshot</t>
        </is>
      </c>
      <c r="J20" s="2" t="inlineStr">
        <is>
          <t>Profile and metric names are matched by text. Rename a profile in column A and J together; do not rename metrics.</t>
        </is>
      </c>
    </row>
    <row r="21">
      <c r="A21" t="inlineStr">
        <is>
          <t>Ramped AE</t>
        </is>
      </c>
      <c r="B21" t="inlineStr">
        <is>
          <t>Stale pipeline</t>
        </is>
      </c>
      <c r="C21" t="inlineStr">
        <is>
          <t>Leading</t>
        </is>
      </c>
      <c r="D21" s="7" t="n">
        <v>10</v>
      </c>
      <c r="E21" s="11" t="n">
        <v>0.3</v>
      </c>
      <c r="F21" s="11" t="n">
        <v>0.1</v>
      </c>
      <c r="G21" s="7" t="n">
        <v>110</v>
      </c>
      <c r="H21" s="2" t="inlineStr">
        <is>
          <t>Open deals with no change to stage, close date or amount in the stale window / open deals (lower is better)</t>
        </is>
      </c>
    </row>
    <row r="22">
      <c r="A22" t="inlineStr">
        <is>
          <t>Ramping AE</t>
        </is>
      </c>
      <c r="B22" t="inlineStr">
        <is>
          <t>Quota attainment</t>
        </is>
      </c>
      <c r="C22" t="inlineStr">
        <is>
          <t>Outcome</t>
        </is>
      </c>
      <c r="D22" s="7" t="n">
        <v>15</v>
      </c>
      <c r="E22" s="11" t="n">
        <v>0.1</v>
      </c>
      <c r="F22" s="11" t="n">
        <v>0.5</v>
      </c>
      <c r="G22" s="7" t="n">
        <v>120</v>
      </c>
      <c r="H22" s="2" t="inlineStr">
        <is>
          <t>Bookings counted to quota / full quarterly quota</t>
        </is>
      </c>
    </row>
    <row r="23">
      <c r="A23" t="inlineStr">
        <is>
          <t>Ramping AE</t>
        </is>
      </c>
      <c r="B23" t="inlineStr">
        <is>
          <t>Pipeline created</t>
        </is>
      </c>
      <c r="C23" t="inlineStr">
        <is>
          <t>Leading</t>
        </is>
      </c>
      <c r="D23" s="7" t="n">
        <v>30</v>
      </c>
      <c r="E23" s="11" t="n">
        <v>0.5</v>
      </c>
      <c r="F23" s="11" t="n">
        <v>1</v>
      </c>
      <c r="G23" s="7" t="n">
        <v>120</v>
      </c>
      <c r="H23" s="2" t="inlineStr">
        <is>
          <t>Pipeline created in the quarter / pipeline target</t>
        </is>
      </c>
    </row>
    <row r="24">
      <c r="A24" t="inlineStr">
        <is>
          <t>Ramping AE</t>
        </is>
      </c>
      <c r="B24" t="inlineStr">
        <is>
          <t>Stage conversion</t>
        </is>
      </c>
      <c r="C24" t="inlineStr">
        <is>
          <t>Leading</t>
        </is>
      </c>
      <c r="D24" s="7" t="n">
        <v>20</v>
      </c>
      <c r="E24" s="11" t="n">
        <v>0.25</v>
      </c>
      <c r="F24" s="11" t="n">
        <v>0.45</v>
      </c>
      <c r="G24" s="7" t="n">
        <v>120</v>
      </c>
      <c r="H24" s="2" t="inlineStr">
        <is>
          <t>Deals that advanced out of Stage 2 / all deals that left Stage 2 (advanced or lost)</t>
        </is>
      </c>
    </row>
    <row r="25">
      <c r="A25" t="inlineStr">
        <is>
          <t>Ramping AE</t>
        </is>
      </c>
      <c r="B25" t="inlineStr">
        <is>
          <t>Win rate</t>
        </is>
      </c>
      <c r="C25" t="inlineStr">
        <is>
          <t>Outcome</t>
        </is>
      </c>
      <c r="D25" s="7" t="n">
        <v>10</v>
      </c>
      <c r="E25" s="11" t="n">
        <v>0.1</v>
      </c>
      <c r="F25" s="11" t="n">
        <v>0.2</v>
      </c>
      <c r="G25" s="7" t="n">
        <v>120</v>
      </c>
      <c r="H25" s="2" t="inlineStr">
        <is>
          <t>Won / (won + lost), deals decided in the quarter</t>
        </is>
      </c>
    </row>
    <row r="26">
      <c r="A26" t="inlineStr">
        <is>
          <t>Ramping AE</t>
        </is>
      </c>
      <c r="B26" t="inlineStr">
        <is>
          <t>Forecast accuracy</t>
        </is>
      </c>
      <c r="C26" t="inlineStr">
        <is>
          <t>Outcome</t>
        </is>
      </c>
      <c r="D26" s="7" t="n">
        <v>10</v>
      </c>
      <c r="E26" s="11" t="n">
        <v>0.6</v>
      </c>
      <c r="F26" s="11" t="n">
        <v>0.85</v>
      </c>
      <c r="G26" s="7" t="n">
        <v>110</v>
      </c>
      <c r="H26" s="2" t="inlineStr">
        <is>
          <t>1 - |bookings - commit| / bookings, commit called at the snapshot</t>
        </is>
      </c>
    </row>
    <row r="27">
      <c r="A27" t="inlineStr">
        <is>
          <t>Ramping AE</t>
        </is>
      </c>
      <c r="B27" t="inlineStr">
        <is>
          <t>Stale pipeline</t>
        </is>
      </c>
      <c r="C27" t="inlineStr">
        <is>
          <t>Leading</t>
        </is>
      </c>
      <c r="D27" s="7" t="n">
        <v>15</v>
      </c>
      <c r="E27" s="11" t="n">
        <v>0.3</v>
      </c>
      <c r="F27" s="11" t="n">
        <v>0.1</v>
      </c>
      <c r="G27" s="7" t="n">
        <v>110</v>
      </c>
      <c r="H27" s="2" t="inlineStr">
        <is>
          <t>Open deals with no change to stage, close date or amount in the stale window / open deals (lower is better)</t>
        </is>
      </c>
    </row>
    <row r="28">
      <c r="A28" t="inlineStr">
        <is>
          <t>Enterprise AE</t>
        </is>
      </c>
      <c r="B28" t="inlineStr">
        <is>
          <t>Quota attainment</t>
        </is>
      </c>
      <c r="C28" t="inlineStr">
        <is>
          <t>Outcome</t>
        </is>
      </c>
      <c r="D28" s="7" t="n">
        <v>30</v>
      </c>
      <c r="E28" s="11" t="n">
        <v>0.5</v>
      </c>
      <c r="F28" s="11" t="n">
        <v>1</v>
      </c>
      <c r="G28" s="7" t="n">
        <v>120</v>
      </c>
      <c r="H28" s="2" t="inlineStr">
        <is>
          <t>Bookings counted to quota / full quarterly quota</t>
        </is>
      </c>
    </row>
    <row r="29">
      <c r="A29" t="inlineStr">
        <is>
          <t>Enterprise AE</t>
        </is>
      </c>
      <c r="B29" t="inlineStr">
        <is>
          <t>Pipeline created</t>
        </is>
      </c>
      <c r="C29" t="inlineStr">
        <is>
          <t>Leading</t>
        </is>
      </c>
      <c r="D29" s="7" t="n">
        <v>20</v>
      </c>
      <c r="E29" s="11" t="n">
        <v>0.5</v>
      </c>
      <c r="F29" s="11" t="n">
        <v>1</v>
      </c>
      <c r="G29" s="7" t="n">
        <v>120</v>
      </c>
      <c r="H29" s="2" t="inlineStr">
        <is>
          <t>Pipeline created in the quarter / pipeline target</t>
        </is>
      </c>
    </row>
    <row r="30">
      <c r="A30" t="inlineStr">
        <is>
          <t>Enterprise AE</t>
        </is>
      </c>
      <c r="B30" t="inlineStr">
        <is>
          <t>Stage conversion</t>
        </is>
      </c>
      <c r="C30" t="inlineStr">
        <is>
          <t>Leading</t>
        </is>
      </c>
      <c r="D30" s="7" t="n">
        <v>15</v>
      </c>
      <c r="E30" s="11" t="n">
        <v>0.3</v>
      </c>
      <c r="F30" s="11" t="n">
        <v>0.5</v>
      </c>
      <c r="G30" s="7" t="n">
        <v>120</v>
      </c>
      <c r="H30" s="2" t="inlineStr">
        <is>
          <t>Deals that advanced out of Stage 2 / all deals that left Stage 2 (advanced or lost)</t>
        </is>
      </c>
    </row>
    <row r="31">
      <c r="A31" t="inlineStr">
        <is>
          <t>Enterprise AE</t>
        </is>
      </c>
      <c r="B31" t="inlineStr">
        <is>
          <t>Win rate</t>
        </is>
      </c>
      <c r="C31" t="inlineStr">
        <is>
          <t>Outcome</t>
        </is>
      </c>
      <c r="D31" s="7" t="n">
        <v>10</v>
      </c>
      <c r="E31" s="11" t="n">
        <v>0.15</v>
      </c>
      <c r="F31" s="11" t="n">
        <v>0.3</v>
      </c>
      <c r="G31" s="7" t="n">
        <v>120</v>
      </c>
      <c r="H31" s="2" t="inlineStr">
        <is>
          <t>Won / (won + lost), deals decided in the quarter</t>
        </is>
      </c>
    </row>
    <row r="32">
      <c r="A32" t="inlineStr">
        <is>
          <t>Enterprise AE</t>
        </is>
      </c>
      <c r="B32" t="inlineStr">
        <is>
          <t>Forecast accuracy</t>
        </is>
      </c>
      <c r="C32" t="inlineStr">
        <is>
          <t>Outcome</t>
        </is>
      </c>
      <c r="D32" s="7" t="n">
        <v>15</v>
      </c>
      <c r="E32" s="11" t="n">
        <v>0.7</v>
      </c>
      <c r="F32" s="11" t="n">
        <v>0.9</v>
      </c>
      <c r="G32" s="7" t="n">
        <v>110</v>
      </c>
      <c r="H32" s="2" t="inlineStr">
        <is>
          <t>1 - |bookings - commit| / bookings, commit called at the snapshot</t>
        </is>
      </c>
    </row>
    <row r="33">
      <c r="A33" t="inlineStr">
        <is>
          <t>Enterprise AE</t>
        </is>
      </c>
      <c r="B33" t="inlineStr">
        <is>
          <t>Stale pipeline</t>
        </is>
      </c>
      <c r="C33" t="inlineStr">
        <is>
          <t>Leading</t>
        </is>
      </c>
      <c r="D33" s="7" t="n">
        <v>10</v>
      </c>
      <c r="E33" s="11" t="n">
        <v>0.3</v>
      </c>
      <c r="F33" s="11" t="n">
        <v>0.1</v>
      </c>
      <c r="G33" s="7" t="n">
        <v>110</v>
      </c>
      <c r="H33" s="2" t="inlineStr">
        <is>
          <t>Open deals with no change to stage, close date or amount in the stale window / open deals (lower is better)</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34"/>
  <sheetViews>
    <sheetView showGridLines="1"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8" customWidth="1" min="2" max="2"/>
    <col width="16" customWidth="1" min="3" max="3"/>
    <col width="11" customWidth="1" min="4" max="4"/>
    <col width="15" customWidth="1" min="5" max="5"/>
    <col width="17" customWidth="1" min="6" max="6"/>
  </cols>
  <sheetData>
    <row r="1">
      <c r="A1" s="1" t="inlineStr">
        <is>
          <t>Reps</t>
        </is>
      </c>
    </row>
    <row r="2">
      <c r="A2" s="2" t="inlineStr">
        <is>
          <t>One row per rep. Use the FULL quarterly quota for every rep, including reps still ramping.</t>
        </is>
      </c>
    </row>
    <row r="4" ht="32" customHeight="1">
      <c r="A4" s="9" t="inlineStr">
        <is>
          <t>Rep</t>
        </is>
      </c>
      <c r="B4" s="10" t="inlineStr">
        <is>
          <t>Team</t>
        </is>
      </c>
      <c r="C4" s="10" t="inlineStr">
        <is>
          <t>Profile</t>
        </is>
      </c>
      <c r="D4" s="10" t="inlineStr">
        <is>
          <t>Tenure (months)</t>
        </is>
      </c>
      <c r="E4" s="10" t="inlineStr">
        <is>
          <t>Quarterly quota ($)</t>
        </is>
      </c>
      <c r="F4" s="10" t="inlineStr">
        <is>
          <t>Pipeline created target ($)</t>
        </is>
      </c>
    </row>
    <row r="5">
      <c r="A5" s="5" t="inlineStr">
        <is>
          <t>Maya Chen</t>
        </is>
      </c>
      <c r="B5" s="5" t="inlineStr">
        <is>
          <t>Mid-market East</t>
        </is>
      </c>
      <c r="C5" s="5" t="inlineStr">
        <is>
          <t>Ramped AE</t>
        </is>
      </c>
      <c r="D5" s="7" t="n">
        <v>30</v>
      </c>
      <c r="E5" s="14" t="n">
        <v>200000</v>
      </c>
      <c r="F5" s="14" t="n">
        <v>600000</v>
      </c>
    </row>
    <row r="6">
      <c r="A6" s="5" t="inlineStr">
        <is>
          <t>Jordan Ellis</t>
        </is>
      </c>
      <c r="B6" s="5" t="inlineStr">
        <is>
          <t>Mid-market East</t>
        </is>
      </c>
      <c r="C6" s="5" t="inlineStr">
        <is>
          <t>Ramped AE</t>
        </is>
      </c>
      <c r="D6" s="7" t="n">
        <v>22</v>
      </c>
      <c r="E6" s="14" t="n">
        <v>200000</v>
      </c>
      <c r="F6" s="14" t="n">
        <v>600000</v>
      </c>
    </row>
    <row r="7">
      <c r="A7" s="5" t="inlineStr">
        <is>
          <t>Priya Raman</t>
        </is>
      </c>
      <c r="B7" s="5" t="inlineStr">
        <is>
          <t>Mid-market West</t>
        </is>
      </c>
      <c r="C7" s="5" t="inlineStr">
        <is>
          <t>Ramped AE</t>
        </is>
      </c>
      <c r="D7" s="7" t="n">
        <v>41</v>
      </c>
      <c r="E7" s="14" t="n">
        <v>200000</v>
      </c>
      <c r="F7" s="14" t="n">
        <v>600000</v>
      </c>
    </row>
    <row r="8">
      <c r="A8" s="5" t="inlineStr">
        <is>
          <t>Tom Reyes</t>
        </is>
      </c>
      <c r="B8" s="5" t="inlineStr">
        <is>
          <t>Mid-market West</t>
        </is>
      </c>
      <c r="C8" s="5" t="inlineStr">
        <is>
          <t>Ramped AE</t>
        </is>
      </c>
      <c r="D8" s="7" t="n">
        <v>26</v>
      </c>
      <c r="E8" s="14" t="n">
        <v>200000</v>
      </c>
      <c r="F8" s="14" t="n">
        <v>600000</v>
      </c>
    </row>
    <row r="9">
      <c r="A9" s="5" t="inlineStr">
        <is>
          <t>Sam Ortiz</t>
        </is>
      </c>
      <c r="B9" s="5" t="inlineStr">
        <is>
          <t>Enterprise</t>
        </is>
      </c>
      <c r="C9" s="5" t="inlineStr">
        <is>
          <t>Enterprise AE</t>
        </is>
      </c>
      <c r="D9" s="7" t="n">
        <v>36</v>
      </c>
      <c r="E9" s="14" t="n">
        <v>350000</v>
      </c>
      <c r="F9" s="14" t="n">
        <v>1050000</v>
      </c>
    </row>
    <row r="10">
      <c r="A10" s="5" t="inlineStr">
        <is>
          <t>Dana Brooks</t>
        </is>
      </c>
      <c r="B10" s="5" t="inlineStr">
        <is>
          <t>Enterprise</t>
        </is>
      </c>
      <c r="C10" s="5" t="inlineStr">
        <is>
          <t>Enterprise AE</t>
        </is>
      </c>
      <c r="D10" s="7" t="n">
        <v>19</v>
      </c>
      <c r="E10" s="14" t="n">
        <v>350000</v>
      </c>
      <c r="F10" s="14" t="n">
        <v>1050000</v>
      </c>
    </row>
    <row r="11">
      <c r="A11" s="5" t="inlineStr">
        <is>
          <t>Chris Dunn</t>
        </is>
      </c>
      <c r="B11" s="5" t="inlineStr">
        <is>
          <t>Mid-market East</t>
        </is>
      </c>
      <c r="C11" s="5" t="inlineStr">
        <is>
          <t>Ramping AE</t>
        </is>
      </c>
      <c r="D11" s="7" t="n">
        <v>7</v>
      </c>
      <c r="E11" s="14" t="n">
        <v>200000</v>
      </c>
      <c r="F11" s="14" t="n">
        <v>600000</v>
      </c>
    </row>
    <row r="12">
      <c r="A12" s="5" t="inlineStr">
        <is>
          <t>Lena Park</t>
        </is>
      </c>
      <c r="B12" s="5" t="inlineStr">
        <is>
          <t>Mid-market West</t>
        </is>
      </c>
      <c r="C12" s="5" t="inlineStr">
        <is>
          <t>Ramping AE</t>
        </is>
      </c>
      <c r="D12" s="7" t="n">
        <v>11</v>
      </c>
      <c r="E12" s="14" t="n">
        <v>200000</v>
      </c>
      <c r="F12" s="14" t="n">
        <v>600000</v>
      </c>
    </row>
    <row r="13">
      <c r="A13" s="5" t="n"/>
      <c r="B13" s="5" t="n"/>
      <c r="C13" s="5" t="n"/>
      <c r="D13" s="7" t="n"/>
      <c r="E13" s="14" t="n"/>
      <c r="F13" s="14" t="n"/>
    </row>
    <row r="14">
      <c r="A14" s="5" t="n"/>
      <c r="B14" s="5" t="n"/>
      <c r="C14" s="5" t="n"/>
      <c r="D14" s="7" t="n"/>
      <c r="E14" s="14" t="n"/>
      <c r="F14" s="14" t="n"/>
    </row>
    <row r="15">
      <c r="A15" s="5" t="n"/>
      <c r="B15" s="5" t="n"/>
      <c r="C15" s="5" t="n"/>
      <c r="D15" s="7" t="n"/>
      <c r="E15" s="14" t="n"/>
      <c r="F15" s="14" t="n"/>
    </row>
    <row r="16">
      <c r="A16" s="5" t="n"/>
      <c r="B16" s="5" t="n"/>
      <c r="C16" s="5" t="n"/>
      <c r="D16" s="7" t="n"/>
      <c r="E16" s="14" t="n"/>
      <c r="F16" s="14" t="n"/>
    </row>
    <row r="17">
      <c r="A17" s="5" t="n"/>
      <c r="B17" s="5" t="n"/>
      <c r="C17" s="5" t="n"/>
      <c r="D17" s="7" t="n"/>
      <c r="E17" s="14" t="n"/>
      <c r="F17" s="14" t="n"/>
    </row>
    <row r="18">
      <c r="A18" s="5" t="n"/>
      <c r="B18" s="5" t="n"/>
      <c r="C18" s="5" t="n"/>
      <c r="D18" s="7" t="n"/>
      <c r="E18" s="14" t="n"/>
      <c r="F18" s="14" t="n"/>
    </row>
    <row r="19">
      <c r="A19" s="5" t="n"/>
      <c r="B19" s="5" t="n"/>
      <c r="C19" s="5" t="n"/>
      <c r="D19" s="7" t="n"/>
      <c r="E19" s="14" t="n"/>
      <c r="F19" s="14" t="n"/>
    </row>
    <row r="20">
      <c r="A20" s="5" t="n"/>
      <c r="B20" s="5" t="n"/>
      <c r="C20" s="5" t="n"/>
      <c r="D20" s="7" t="n"/>
      <c r="E20" s="14" t="n"/>
      <c r="F20" s="14" t="n"/>
    </row>
    <row r="21">
      <c r="A21" s="5" t="n"/>
      <c r="B21" s="5" t="n"/>
      <c r="C21" s="5" t="n"/>
      <c r="D21" s="7" t="n"/>
      <c r="E21" s="14" t="n"/>
      <c r="F21" s="14" t="n"/>
    </row>
    <row r="22">
      <c r="A22" s="5" t="n"/>
      <c r="B22" s="5" t="n"/>
      <c r="C22" s="5" t="n"/>
      <c r="D22" s="7" t="n"/>
      <c r="E22" s="14" t="n"/>
      <c r="F22" s="14" t="n"/>
    </row>
    <row r="23">
      <c r="A23" s="5" t="n"/>
      <c r="B23" s="5" t="n"/>
      <c r="C23" s="5" t="n"/>
      <c r="D23" s="7" t="n"/>
      <c r="E23" s="14" t="n"/>
      <c r="F23" s="14" t="n"/>
    </row>
    <row r="24">
      <c r="A24" s="5" t="n"/>
      <c r="B24" s="5" t="n"/>
      <c r="C24" s="5" t="n"/>
      <c r="D24" s="7" t="n"/>
      <c r="E24" s="14" t="n"/>
      <c r="F24" s="14" t="n"/>
    </row>
    <row r="25">
      <c r="A25" s="5" t="n"/>
      <c r="B25" s="5" t="n"/>
      <c r="C25" s="5" t="n"/>
      <c r="D25" s="7" t="n"/>
      <c r="E25" s="14" t="n"/>
      <c r="F25" s="14" t="n"/>
    </row>
    <row r="26">
      <c r="A26" s="5" t="n"/>
      <c r="B26" s="5" t="n"/>
      <c r="C26" s="5" t="n"/>
      <c r="D26" s="7" t="n"/>
      <c r="E26" s="14" t="n"/>
      <c r="F26" s="14" t="n"/>
    </row>
    <row r="27">
      <c r="A27" s="5" t="n"/>
      <c r="B27" s="5" t="n"/>
      <c r="C27" s="5" t="n"/>
      <c r="D27" s="7" t="n"/>
      <c r="E27" s="14" t="n"/>
      <c r="F27" s="14" t="n"/>
    </row>
    <row r="28">
      <c r="A28" s="5" t="n"/>
      <c r="B28" s="5" t="n"/>
      <c r="C28" s="5" t="n"/>
      <c r="D28" s="7" t="n"/>
      <c r="E28" s="14" t="n"/>
      <c r="F28" s="14" t="n"/>
    </row>
    <row r="29">
      <c r="A29" s="5" t="n"/>
      <c r="B29" s="5" t="n"/>
      <c r="C29" s="5" t="n"/>
      <c r="D29" s="7" t="n"/>
      <c r="E29" s="14" t="n"/>
      <c r="F29" s="14" t="n"/>
    </row>
    <row r="30">
      <c r="A30" s="5" t="n"/>
      <c r="B30" s="5" t="n"/>
      <c r="C30" s="5" t="n"/>
      <c r="D30" s="7" t="n"/>
      <c r="E30" s="14" t="n"/>
      <c r="F30" s="14" t="n"/>
    </row>
    <row r="31">
      <c r="A31" s="5" t="n"/>
      <c r="B31" s="5" t="n"/>
      <c r="C31" s="5" t="n"/>
      <c r="D31" s="7" t="n"/>
      <c r="E31" s="14" t="n"/>
      <c r="F31" s="14" t="n"/>
    </row>
    <row r="32">
      <c r="A32" s="5" t="n"/>
      <c r="B32" s="5" t="n"/>
      <c r="C32" s="5" t="n"/>
      <c r="D32" s="7" t="n"/>
      <c r="E32" s="14" t="n"/>
      <c r="F32" s="14" t="n"/>
    </row>
    <row r="33">
      <c r="A33" s="5" t="n"/>
      <c r="B33" s="5" t="n"/>
      <c r="C33" s="5" t="n"/>
      <c r="D33" s="7" t="n"/>
      <c r="E33" s="14" t="n"/>
      <c r="F33" s="14" t="n"/>
    </row>
    <row r="34">
      <c r="A34" s="5" t="n"/>
      <c r="B34" s="5" t="n"/>
      <c r="C34" s="5" t="n"/>
      <c r="D34" s="7" t="n"/>
      <c r="E34" s="14" t="n"/>
      <c r="F34" s="14" t="n"/>
    </row>
  </sheetData>
  <dataValidations count="1">
    <dataValidation sqref="C5 C6 C7 C8 C9 C10 C11 C12 C13 C14 C15 C16 C17 C18 C19 C20 C21 C22 C23 C24 C25 C26 C27 C28 C29 C30 C31 C32 C33 C34" showDropDown="0" showInputMessage="0" showErrorMessage="0" allowBlank="1" type="list">
      <formula1>=Setup!$J$16:$J$18</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J34"/>
  <sheetViews>
    <sheetView showGridLines="1"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5" customWidth="1" min="2" max="2"/>
    <col width="14" customWidth="1" min="3" max="3"/>
    <col width="12" customWidth="1" min="4" max="4"/>
    <col width="11" customWidth="1" min="5" max="5"/>
    <col width="9" customWidth="1" min="6" max="6"/>
    <col width="9" customWidth="1" min="7" max="7"/>
    <col width="15" customWidth="1" min="8" max="8"/>
    <col width="12" customWidth="1" min="9" max="9"/>
    <col width="10" customWidth="1" min="10" max="10"/>
  </cols>
  <sheetData>
    <row r="1">
      <c r="A1" s="1" t="inlineStr">
        <is>
          <t>Actuals</t>
        </is>
      </c>
    </row>
    <row r="2">
      <c r="A2" s="2" t="inlineStr">
        <is>
          <t>Quarter results, same row order as Reps. Blank = no data (that metric drops out and the other weights are rescaled).</t>
        </is>
      </c>
    </row>
    <row r="4" ht="32" customHeight="1">
      <c r="A4" s="9" t="inlineStr">
        <is>
          <t>Rep</t>
        </is>
      </c>
      <c r="B4" s="10" t="inlineStr">
        <is>
          <t>Bookings counted to quota ($)</t>
        </is>
      </c>
      <c r="C4" s="10" t="inlineStr">
        <is>
          <t>Pipeline created ($)</t>
        </is>
      </c>
      <c r="D4" s="10" t="inlineStr">
        <is>
          <t>Deals that left Stage 2</t>
        </is>
      </c>
      <c r="E4" s="10" t="inlineStr">
        <is>
          <t>of which advanced</t>
        </is>
      </c>
      <c r="F4" s="10" t="inlineStr">
        <is>
          <t>Deals won</t>
        </is>
      </c>
      <c r="G4" s="10" t="inlineStr">
        <is>
          <t>Deals lost</t>
        </is>
      </c>
      <c r="H4" s="10" t="inlineStr">
        <is>
          <t>Commit called at snapshot ($)</t>
        </is>
      </c>
      <c r="I4" s="10" t="inlineStr">
        <is>
          <t>Open deals at period end</t>
        </is>
      </c>
      <c r="J4" s="10" t="inlineStr">
        <is>
          <t>of which stale</t>
        </is>
      </c>
    </row>
    <row r="5">
      <c r="A5" s="13">
        <f>IF(Reps!A5="","",Reps!A5)</f>
        <v/>
      </c>
      <c r="B5" s="14" t="n">
        <v>236000</v>
      </c>
      <c r="C5" s="14" t="n">
        <v>540000</v>
      </c>
      <c r="D5" s="7" t="n">
        <v>20</v>
      </c>
      <c r="E5" s="7" t="n">
        <v>11</v>
      </c>
      <c r="F5" s="7" t="n">
        <v>7</v>
      </c>
      <c r="G5" s="7" t="n">
        <v>15</v>
      </c>
      <c r="H5" s="14" t="n">
        <v>210000</v>
      </c>
      <c r="I5" s="7" t="n">
        <v>24</v>
      </c>
      <c r="J5" s="7" t="n">
        <v>3</v>
      </c>
    </row>
    <row r="6">
      <c r="A6" s="13">
        <f>IF(Reps!A6="","",Reps!A6)</f>
        <v/>
      </c>
      <c r="B6" s="14" t="n">
        <v>152000</v>
      </c>
      <c r="C6" s="14" t="n">
        <v>780000</v>
      </c>
      <c r="D6" s="7" t="n">
        <v>26</v>
      </c>
      <c r="E6" s="7" t="n">
        <v>10</v>
      </c>
      <c r="F6" s="7" t="n">
        <v>5</v>
      </c>
      <c r="G6" s="7" t="n">
        <v>19</v>
      </c>
      <c r="H6" s="14" t="n">
        <v>190000</v>
      </c>
      <c r="I6" s="7" t="n">
        <v>31</v>
      </c>
      <c r="J6" s="7" t="n">
        <v>9</v>
      </c>
    </row>
    <row r="7">
      <c r="A7" s="13">
        <f>IF(Reps!A7="","",Reps!A7)</f>
        <v/>
      </c>
      <c r="B7" s="14" t="n">
        <v>198000</v>
      </c>
      <c r="C7" s="14" t="n">
        <v>610000</v>
      </c>
      <c r="D7" s="7" t="n">
        <v>18</v>
      </c>
      <c r="E7" s="7" t="n">
        <v>10</v>
      </c>
      <c r="F7" s="7" t="n">
        <v>6</v>
      </c>
      <c r="G7" s="7" t="n">
        <v>14</v>
      </c>
      <c r="H7" s="14" t="n">
        <v>195000</v>
      </c>
      <c r="I7" s="7" t="n">
        <v>20</v>
      </c>
      <c r="J7" s="7" t="n">
        <v>2</v>
      </c>
    </row>
    <row r="8">
      <c r="A8" s="13">
        <f>IF(Reps!A8="","",Reps!A8)</f>
        <v/>
      </c>
      <c r="B8" s="14" t="n">
        <v>205000</v>
      </c>
      <c r="C8" s="14" t="n">
        <v>440000</v>
      </c>
      <c r="D8" s="7" t="n">
        <v>12</v>
      </c>
      <c r="E8" s="7" t="n">
        <v>4</v>
      </c>
      <c r="F8" s="7" t="n">
        <v>5</v>
      </c>
      <c r="G8" s="7" t="n">
        <v>9</v>
      </c>
      <c r="H8" s="14" t="n">
        <v>205000</v>
      </c>
      <c r="I8" s="7" t="n">
        <v>15</v>
      </c>
      <c r="J8" s="7" t="n">
        <v>6</v>
      </c>
    </row>
    <row r="9">
      <c r="A9" s="13">
        <f>IF(Reps!A9="","",Reps!A9)</f>
        <v/>
      </c>
      <c r="B9" s="14" t="n">
        <v>410000</v>
      </c>
      <c r="C9" s="14" t="n">
        <v>690000</v>
      </c>
      <c r="D9" s="7" t="n">
        <v>9</v>
      </c>
      <c r="E9" s="7" t="n">
        <v>5</v>
      </c>
      <c r="F9" s="7" t="n">
        <v>3</v>
      </c>
      <c r="G9" s="7" t="n">
        <v>6</v>
      </c>
      <c r="H9" s="14" t="n">
        <v>300000</v>
      </c>
      <c r="I9" s="7" t="n">
        <v>14</v>
      </c>
      <c r="J9" s="7" t="n">
        <v>4</v>
      </c>
    </row>
    <row r="10">
      <c r="A10" s="13">
        <f>IF(Reps!A10="","",Reps!A10)</f>
        <v/>
      </c>
      <c r="B10" s="14" t="n">
        <v>255000</v>
      </c>
      <c r="C10" s="14" t="n">
        <v>1120000</v>
      </c>
      <c r="D10" s="7" t="n">
        <v>14</v>
      </c>
      <c r="E10" s="7" t="n">
        <v>6</v>
      </c>
      <c r="F10" s="7" t="n">
        <v>3</v>
      </c>
      <c r="G10" s="7" t="n">
        <v>11</v>
      </c>
      <c r="H10" s="14" t="n">
        <v>260000</v>
      </c>
      <c r="I10" s="7" t="n">
        <v>18</v>
      </c>
      <c r="J10" s="7" t="n">
        <v>3</v>
      </c>
    </row>
    <row r="11">
      <c r="A11" s="13">
        <f>IF(Reps!A11="","",Reps!A11)</f>
        <v/>
      </c>
      <c r="B11" s="14" t="n">
        <v>48000</v>
      </c>
      <c r="C11" s="14" t="n">
        <v>650000</v>
      </c>
      <c r="D11" s="7" t="n">
        <v>15</v>
      </c>
      <c r="E11" s="7" t="n">
        <v>7</v>
      </c>
      <c r="F11" s="7" t="n">
        <v>2</v>
      </c>
      <c r="G11" s="7" t="n">
        <v>8</v>
      </c>
      <c r="H11" s="14" t="n">
        <v>40000</v>
      </c>
      <c r="I11" s="7" t="n">
        <v>16</v>
      </c>
      <c r="J11" s="7" t="n">
        <v>2</v>
      </c>
    </row>
    <row r="12">
      <c r="A12" s="13">
        <f>IF(Reps!A12="","",Reps!A12)</f>
        <v/>
      </c>
      <c r="B12" s="14" t="n">
        <v>110000</v>
      </c>
      <c r="C12" s="14" t="n">
        <v>520000</v>
      </c>
      <c r="D12" s="7" t="n">
        <v>17</v>
      </c>
      <c r="E12" s="7" t="n">
        <v>6</v>
      </c>
      <c r="F12" s="7" t="n">
        <v>3</v>
      </c>
      <c r="G12" s="7" t="n">
        <v>10</v>
      </c>
      <c r="H12" s="14" t="n">
        <v>150000</v>
      </c>
      <c r="I12" s="7" t="n">
        <v>19</v>
      </c>
      <c r="J12" s="7" t="n">
        <v>7</v>
      </c>
    </row>
    <row r="13">
      <c r="A13" s="13">
        <f>IF(Reps!A13="","",Reps!A13)</f>
        <v/>
      </c>
      <c r="B13" s="14" t="n"/>
      <c r="C13" s="14" t="n"/>
      <c r="D13" s="7" t="n"/>
      <c r="E13" s="7" t="n"/>
      <c r="F13" s="7" t="n"/>
      <c r="G13" s="7" t="n"/>
      <c r="H13" s="14" t="n"/>
      <c r="I13" s="7" t="n"/>
      <c r="J13" s="7" t="n"/>
    </row>
    <row r="14">
      <c r="A14" s="13">
        <f>IF(Reps!A14="","",Reps!A14)</f>
        <v/>
      </c>
      <c r="B14" s="14" t="n"/>
      <c r="C14" s="14" t="n"/>
      <c r="D14" s="7" t="n"/>
      <c r="E14" s="7" t="n"/>
      <c r="F14" s="7" t="n"/>
      <c r="G14" s="7" t="n"/>
      <c r="H14" s="14" t="n"/>
      <c r="I14" s="7" t="n"/>
      <c r="J14" s="7" t="n"/>
    </row>
    <row r="15">
      <c r="A15" s="13">
        <f>IF(Reps!A15="","",Reps!A15)</f>
        <v/>
      </c>
      <c r="B15" s="14" t="n"/>
      <c r="C15" s="14" t="n"/>
      <c r="D15" s="7" t="n"/>
      <c r="E15" s="7" t="n"/>
      <c r="F15" s="7" t="n"/>
      <c r="G15" s="7" t="n"/>
      <c r="H15" s="14" t="n"/>
      <c r="I15" s="7" t="n"/>
      <c r="J15" s="7" t="n"/>
    </row>
    <row r="16">
      <c r="A16" s="13">
        <f>IF(Reps!A16="","",Reps!A16)</f>
        <v/>
      </c>
      <c r="B16" s="14" t="n"/>
      <c r="C16" s="14" t="n"/>
      <c r="D16" s="7" t="n"/>
      <c r="E16" s="7" t="n"/>
      <c r="F16" s="7" t="n"/>
      <c r="G16" s="7" t="n"/>
      <c r="H16" s="14" t="n"/>
      <c r="I16" s="7" t="n"/>
      <c r="J16" s="7" t="n"/>
    </row>
    <row r="17">
      <c r="A17" s="13">
        <f>IF(Reps!A17="","",Reps!A17)</f>
        <v/>
      </c>
      <c r="B17" s="14" t="n"/>
      <c r="C17" s="14" t="n"/>
      <c r="D17" s="7" t="n"/>
      <c r="E17" s="7" t="n"/>
      <c r="F17" s="7" t="n"/>
      <c r="G17" s="7" t="n"/>
      <c r="H17" s="14" t="n"/>
      <c r="I17" s="7" t="n"/>
      <c r="J17" s="7" t="n"/>
    </row>
    <row r="18">
      <c r="A18" s="13">
        <f>IF(Reps!A18="","",Reps!A18)</f>
        <v/>
      </c>
      <c r="B18" s="14" t="n"/>
      <c r="C18" s="14" t="n"/>
      <c r="D18" s="7" t="n"/>
      <c r="E18" s="7" t="n"/>
      <c r="F18" s="7" t="n"/>
      <c r="G18" s="7" t="n"/>
      <c r="H18" s="14" t="n"/>
      <c r="I18" s="7" t="n"/>
      <c r="J18" s="7" t="n"/>
    </row>
    <row r="19">
      <c r="A19" s="13">
        <f>IF(Reps!A19="","",Reps!A19)</f>
        <v/>
      </c>
      <c r="B19" s="14" t="n"/>
      <c r="C19" s="14" t="n"/>
      <c r="D19" s="7" t="n"/>
      <c r="E19" s="7" t="n"/>
      <c r="F19" s="7" t="n"/>
      <c r="G19" s="7" t="n"/>
      <c r="H19" s="14" t="n"/>
      <c r="I19" s="7" t="n"/>
      <c r="J19" s="7" t="n"/>
    </row>
    <row r="20">
      <c r="A20" s="13">
        <f>IF(Reps!A20="","",Reps!A20)</f>
        <v/>
      </c>
      <c r="B20" s="14" t="n"/>
      <c r="C20" s="14" t="n"/>
      <c r="D20" s="7" t="n"/>
      <c r="E20" s="7" t="n"/>
      <c r="F20" s="7" t="n"/>
      <c r="G20" s="7" t="n"/>
      <c r="H20" s="14" t="n"/>
      <c r="I20" s="7" t="n"/>
      <c r="J20" s="7" t="n"/>
    </row>
    <row r="21">
      <c r="A21" s="13">
        <f>IF(Reps!A21="","",Reps!A21)</f>
        <v/>
      </c>
      <c r="B21" s="14" t="n"/>
      <c r="C21" s="14" t="n"/>
      <c r="D21" s="7" t="n"/>
      <c r="E21" s="7" t="n"/>
      <c r="F21" s="7" t="n"/>
      <c r="G21" s="7" t="n"/>
      <c r="H21" s="14" t="n"/>
      <c r="I21" s="7" t="n"/>
      <c r="J21" s="7" t="n"/>
    </row>
    <row r="22">
      <c r="A22" s="13">
        <f>IF(Reps!A22="","",Reps!A22)</f>
        <v/>
      </c>
      <c r="B22" s="14" t="n"/>
      <c r="C22" s="14" t="n"/>
      <c r="D22" s="7" t="n"/>
      <c r="E22" s="7" t="n"/>
      <c r="F22" s="7" t="n"/>
      <c r="G22" s="7" t="n"/>
      <c r="H22" s="14" t="n"/>
      <c r="I22" s="7" t="n"/>
      <c r="J22" s="7" t="n"/>
    </row>
    <row r="23">
      <c r="A23" s="13">
        <f>IF(Reps!A23="","",Reps!A23)</f>
        <v/>
      </c>
      <c r="B23" s="14" t="n"/>
      <c r="C23" s="14" t="n"/>
      <c r="D23" s="7" t="n"/>
      <c r="E23" s="7" t="n"/>
      <c r="F23" s="7" t="n"/>
      <c r="G23" s="7" t="n"/>
      <c r="H23" s="14" t="n"/>
      <c r="I23" s="7" t="n"/>
      <c r="J23" s="7" t="n"/>
    </row>
    <row r="24">
      <c r="A24" s="13">
        <f>IF(Reps!A24="","",Reps!A24)</f>
        <v/>
      </c>
      <c r="B24" s="14" t="n"/>
      <c r="C24" s="14" t="n"/>
      <c r="D24" s="7" t="n"/>
      <c r="E24" s="7" t="n"/>
      <c r="F24" s="7" t="n"/>
      <c r="G24" s="7" t="n"/>
      <c r="H24" s="14" t="n"/>
      <c r="I24" s="7" t="n"/>
      <c r="J24" s="7" t="n"/>
    </row>
    <row r="25">
      <c r="A25" s="13">
        <f>IF(Reps!A25="","",Reps!A25)</f>
        <v/>
      </c>
      <c r="B25" s="14" t="n"/>
      <c r="C25" s="14" t="n"/>
      <c r="D25" s="7" t="n"/>
      <c r="E25" s="7" t="n"/>
      <c r="F25" s="7" t="n"/>
      <c r="G25" s="7" t="n"/>
      <c r="H25" s="14" t="n"/>
      <c r="I25" s="7" t="n"/>
      <c r="J25" s="7" t="n"/>
    </row>
    <row r="26">
      <c r="A26" s="13">
        <f>IF(Reps!A26="","",Reps!A26)</f>
        <v/>
      </c>
      <c r="B26" s="14" t="n"/>
      <c r="C26" s="14" t="n"/>
      <c r="D26" s="7" t="n"/>
      <c r="E26" s="7" t="n"/>
      <c r="F26" s="7" t="n"/>
      <c r="G26" s="7" t="n"/>
      <c r="H26" s="14" t="n"/>
      <c r="I26" s="7" t="n"/>
      <c r="J26" s="7" t="n"/>
    </row>
    <row r="27">
      <c r="A27" s="13">
        <f>IF(Reps!A27="","",Reps!A27)</f>
        <v/>
      </c>
      <c r="B27" s="14" t="n"/>
      <c r="C27" s="14" t="n"/>
      <c r="D27" s="7" t="n"/>
      <c r="E27" s="7" t="n"/>
      <c r="F27" s="7" t="n"/>
      <c r="G27" s="7" t="n"/>
      <c r="H27" s="14" t="n"/>
      <c r="I27" s="7" t="n"/>
      <c r="J27" s="7" t="n"/>
    </row>
    <row r="28">
      <c r="A28" s="13">
        <f>IF(Reps!A28="","",Reps!A28)</f>
        <v/>
      </c>
      <c r="B28" s="14" t="n"/>
      <c r="C28" s="14" t="n"/>
      <c r="D28" s="7" t="n"/>
      <c r="E28" s="7" t="n"/>
      <c r="F28" s="7" t="n"/>
      <c r="G28" s="7" t="n"/>
      <c r="H28" s="14" t="n"/>
      <c r="I28" s="7" t="n"/>
      <c r="J28" s="7" t="n"/>
    </row>
    <row r="29">
      <c r="A29" s="13">
        <f>IF(Reps!A29="","",Reps!A29)</f>
        <v/>
      </c>
      <c r="B29" s="14" t="n"/>
      <c r="C29" s="14" t="n"/>
      <c r="D29" s="7" t="n"/>
      <c r="E29" s="7" t="n"/>
      <c r="F29" s="7" t="n"/>
      <c r="G29" s="7" t="n"/>
      <c r="H29" s="14" t="n"/>
      <c r="I29" s="7" t="n"/>
      <c r="J29" s="7" t="n"/>
    </row>
    <row r="30">
      <c r="A30" s="13">
        <f>IF(Reps!A30="","",Reps!A30)</f>
        <v/>
      </c>
      <c r="B30" s="14" t="n"/>
      <c r="C30" s="14" t="n"/>
      <c r="D30" s="7" t="n"/>
      <c r="E30" s="7" t="n"/>
      <c r="F30" s="7" t="n"/>
      <c r="G30" s="7" t="n"/>
      <c r="H30" s="14" t="n"/>
      <c r="I30" s="7" t="n"/>
      <c r="J30" s="7" t="n"/>
    </row>
    <row r="31">
      <c r="A31" s="13">
        <f>IF(Reps!A31="","",Reps!A31)</f>
        <v/>
      </c>
      <c r="B31" s="14" t="n"/>
      <c r="C31" s="14" t="n"/>
      <c r="D31" s="7" t="n"/>
      <c r="E31" s="7" t="n"/>
      <c r="F31" s="7" t="n"/>
      <c r="G31" s="7" t="n"/>
      <c r="H31" s="14" t="n"/>
      <c r="I31" s="7" t="n"/>
      <c r="J31" s="7" t="n"/>
    </row>
    <row r="32">
      <c r="A32" s="13">
        <f>IF(Reps!A32="","",Reps!A32)</f>
        <v/>
      </c>
      <c r="B32" s="14" t="n"/>
      <c r="C32" s="14" t="n"/>
      <c r="D32" s="7" t="n"/>
      <c r="E32" s="7" t="n"/>
      <c r="F32" s="7" t="n"/>
      <c r="G32" s="7" t="n"/>
      <c r="H32" s="14" t="n"/>
      <c r="I32" s="7" t="n"/>
      <c r="J32" s="7" t="n"/>
    </row>
    <row r="33">
      <c r="A33" s="13">
        <f>IF(Reps!A33="","",Reps!A33)</f>
        <v/>
      </c>
      <c r="B33" s="14" t="n"/>
      <c r="C33" s="14" t="n"/>
      <c r="D33" s="7" t="n"/>
      <c r="E33" s="7" t="n"/>
      <c r="F33" s="7" t="n"/>
      <c r="G33" s="7" t="n"/>
      <c r="H33" s="14" t="n"/>
      <c r="I33" s="7" t="n"/>
      <c r="J33" s="7" t="n"/>
    </row>
    <row r="34">
      <c r="A34" s="13">
        <f>IF(Reps!A34="","",Reps!A34)</f>
        <v/>
      </c>
      <c r="B34" s="14" t="n"/>
      <c r="C34" s="14" t="n"/>
      <c r="D34" s="7" t="n"/>
      <c r="E34" s="7" t="n"/>
      <c r="F34" s="7" t="n"/>
      <c r="G34" s="7" t="n"/>
      <c r="H34" s="14" t="n"/>
      <c r="I34" s="7" t="n"/>
      <c r="J34" s="7"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M34"/>
  <sheetViews>
    <sheetView showGridLines="1" workbookViewId="0">
      <pane xSplit="2" ySplit="4" topLeftCell="C5" activePane="bottomRight" state="frozen"/>
      <selection pane="topRight"/>
      <selection pane="bottomLeft"/>
      <selection pane="bottomRight" activeCell="A1" sqref="A1"/>
    </sheetView>
  </sheetViews>
  <sheetFormatPr baseColWidth="8" defaultRowHeight="15"/>
  <cols>
    <col width="16" customWidth="1" min="1" max="1"/>
    <col width="14" customWidth="1" min="2" max="2"/>
    <col width="20" customWidth="1" min="35" max="35"/>
    <col width="11" customWidth="1" min="36" max="36"/>
    <col width="13" customWidth="1" min="39" max="39"/>
  </cols>
  <sheetData>
    <row r="1">
      <c r="A1" s="1" t="inlineStr">
        <is>
          <t>Calc</t>
        </is>
      </c>
    </row>
    <row r="2">
      <c r="A2" s="2" t="inlineStr">
        <is>
          <t>Working columns. Every cell is a formula. Row 3 holds the metric names the formulas match on Setup.</t>
        </is>
      </c>
    </row>
    <row r="3">
      <c r="C3" s="2" t="inlineStr">
        <is>
          <t>Quota attainment</t>
        </is>
      </c>
      <c r="D3" s="2" t="inlineStr">
        <is>
          <t>Pipeline created</t>
        </is>
      </c>
      <c r="E3" s="2" t="inlineStr">
        <is>
          <t>Stage conversion</t>
        </is>
      </c>
      <c r="F3" s="2" t="inlineStr">
        <is>
          <t>Win rate</t>
        </is>
      </c>
      <c r="G3" s="2" t="inlineStr">
        <is>
          <t>Forecast accuracy</t>
        </is>
      </c>
      <c r="H3" s="2" t="inlineStr">
        <is>
          <t>Stale pipeline</t>
        </is>
      </c>
      <c r="I3" s="2" t="inlineStr">
        <is>
          <t>Quota attainment</t>
        </is>
      </c>
      <c r="J3" s="2" t="inlineStr">
        <is>
          <t>Pipeline created</t>
        </is>
      </c>
      <c r="K3" s="2" t="inlineStr">
        <is>
          <t>Stage conversion</t>
        </is>
      </c>
      <c r="L3" s="2" t="inlineStr">
        <is>
          <t>Win rate</t>
        </is>
      </c>
      <c r="M3" s="2" t="inlineStr">
        <is>
          <t>Forecast accuracy</t>
        </is>
      </c>
      <c r="N3" s="2" t="inlineStr">
        <is>
          <t>Stale pipeline</t>
        </is>
      </c>
      <c r="O3" s="2" t="inlineStr">
        <is>
          <t>Quota attainment</t>
        </is>
      </c>
      <c r="P3" s="2" t="inlineStr">
        <is>
          <t>Pipeline created</t>
        </is>
      </c>
      <c r="Q3" s="2" t="inlineStr">
        <is>
          <t>Stage conversion</t>
        </is>
      </c>
      <c r="R3" s="2" t="inlineStr">
        <is>
          <t>Win rate</t>
        </is>
      </c>
      <c r="S3" s="2" t="inlineStr">
        <is>
          <t>Forecast accuracy</t>
        </is>
      </c>
      <c r="T3" s="2" t="inlineStr">
        <is>
          <t>Stale pipeline</t>
        </is>
      </c>
      <c r="U3" s="2" t="inlineStr">
        <is>
          <t>Quota attainment</t>
        </is>
      </c>
      <c r="V3" s="2" t="inlineStr">
        <is>
          <t>Pipeline created</t>
        </is>
      </c>
      <c r="W3" s="2" t="inlineStr">
        <is>
          <t>Stage conversion</t>
        </is>
      </c>
      <c r="X3" s="2" t="inlineStr">
        <is>
          <t>Win rate</t>
        </is>
      </c>
      <c r="Y3" s="2" t="inlineStr">
        <is>
          <t>Forecast accuracy</t>
        </is>
      </c>
      <c r="Z3" s="2" t="inlineStr">
        <is>
          <t>Stale pipeline</t>
        </is>
      </c>
      <c r="AC3" s="2" t="inlineStr">
        <is>
          <t>Quota attainment</t>
        </is>
      </c>
      <c r="AD3" s="2" t="inlineStr">
        <is>
          <t>Pipeline created</t>
        </is>
      </c>
      <c r="AE3" s="2" t="inlineStr">
        <is>
          <t>Stage conversion</t>
        </is>
      </c>
      <c r="AF3" s="2" t="inlineStr">
        <is>
          <t>Win rate</t>
        </is>
      </c>
      <c r="AG3" s="2" t="inlineStr">
        <is>
          <t>Forecast accuracy</t>
        </is>
      </c>
      <c r="AH3" s="2" t="inlineStr">
        <is>
          <t>Stale pipeline</t>
        </is>
      </c>
    </row>
    <row r="4" ht="32" customHeight="1">
      <c r="A4" s="9" t="inlineStr">
        <is>
          <t>Rep</t>
        </is>
      </c>
      <c r="B4" s="10" t="inlineStr">
        <is>
          <t>Profile</t>
        </is>
      </c>
      <c r="C4" s="10" t="inlineStr">
        <is>
          <t>Attainment</t>
        </is>
      </c>
      <c r="D4" s="10" t="inlineStr">
        <is>
          <t>Pipeline created % of target</t>
        </is>
      </c>
      <c r="E4" s="10" t="inlineStr">
        <is>
          <t>Stage conversion</t>
        </is>
      </c>
      <c r="F4" s="10" t="inlineStr">
        <is>
          <t>Win rate</t>
        </is>
      </c>
      <c r="G4" s="10" t="inlineStr">
        <is>
          <t>Forecast accuracy</t>
        </is>
      </c>
      <c r="H4" s="10" t="inlineStr">
        <is>
          <t>Stale share</t>
        </is>
      </c>
      <c r="I4" s="10" t="inlineStr">
        <is>
          <t>Score: attainment</t>
        </is>
      </c>
      <c r="J4" s="10" t="inlineStr">
        <is>
          <t>Score: pipeline</t>
        </is>
      </c>
      <c r="K4" s="10" t="inlineStr">
        <is>
          <t>Score: stage conv.</t>
        </is>
      </c>
      <c r="L4" s="10" t="inlineStr">
        <is>
          <t>Score: win rate</t>
        </is>
      </c>
      <c r="M4" s="10" t="inlineStr">
        <is>
          <t>Score: forecast acc.</t>
        </is>
      </c>
      <c r="N4" s="10" t="inlineStr">
        <is>
          <t>Score: stale</t>
        </is>
      </c>
      <c r="O4" s="10" t="inlineStr">
        <is>
          <t>Weight: attainment</t>
        </is>
      </c>
      <c r="P4" s="10" t="inlineStr">
        <is>
          <t>Weight: pipeline</t>
        </is>
      </c>
      <c r="Q4" s="10" t="inlineStr">
        <is>
          <t>Weight: stage conv.</t>
        </is>
      </c>
      <c r="R4" s="10" t="inlineStr">
        <is>
          <t>Weight: win rate</t>
        </is>
      </c>
      <c r="S4" s="10" t="inlineStr">
        <is>
          <t>Weight: forecast acc.</t>
        </is>
      </c>
      <c r="T4" s="10" t="inlineStr">
        <is>
          <t>Weight: stale</t>
        </is>
      </c>
      <c r="U4" s="10" t="inlineStr">
        <is>
          <t>Pts: attainment</t>
        </is>
      </c>
      <c r="V4" s="10" t="inlineStr">
        <is>
          <t>Pts: pipeline</t>
        </is>
      </c>
      <c r="W4" s="10" t="inlineStr">
        <is>
          <t>Pts: stage conv.</t>
        </is>
      </c>
      <c r="X4" s="10" t="inlineStr">
        <is>
          <t>Pts: win rate</t>
        </is>
      </c>
      <c r="Y4" s="10" t="inlineStr">
        <is>
          <t>Pts: forecast acc.</t>
        </is>
      </c>
      <c r="Z4" s="10" t="inlineStr">
        <is>
          <t>Pts: stale</t>
        </is>
      </c>
      <c r="AA4" s="10" t="inlineStr">
        <is>
          <t>Weight used</t>
        </is>
      </c>
      <c r="AB4" s="10" t="inlineStr">
        <is>
          <t>Weighted score</t>
        </is>
      </c>
      <c r="AC4" s="10" t="inlineStr">
        <is>
          <t>Below target: attainment</t>
        </is>
      </c>
      <c r="AD4" s="10" t="inlineStr">
        <is>
          <t>Below target: pipeline</t>
        </is>
      </c>
      <c r="AE4" s="10" t="inlineStr">
        <is>
          <t>Below target: stage conv.</t>
        </is>
      </c>
      <c r="AF4" s="10" t="inlineStr">
        <is>
          <t>Below target: win rate</t>
        </is>
      </c>
      <c r="AG4" s="10" t="inlineStr">
        <is>
          <t>Below target: forecast acc.</t>
        </is>
      </c>
      <c r="AH4" s="10" t="inlineStr">
        <is>
          <t>Below target: stale</t>
        </is>
      </c>
      <c r="AI4" s="10" t="inlineStr">
        <is>
          <t>Coaching focus</t>
        </is>
      </c>
      <c r="AJ4" s="10" t="inlineStr">
        <is>
          <t>Rating</t>
        </is>
      </c>
      <c r="AK4" s="10" t="inlineStr">
        <is>
          <t>Rank (score)</t>
        </is>
      </c>
      <c r="AL4" s="10" t="inlineStr">
        <is>
          <t>Rank (attainment)</t>
        </is>
      </c>
      <c r="AM4" s="10" t="inlineStr">
        <is>
          <t>Forecast bias</t>
        </is>
      </c>
    </row>
    <row r="5">
      <c r="A5" s="13">
        <f>IF(Reps!A5="","",Reps!A5)</f>
        <v/>
      </c>
      <c r="B5" s="13">
        <f>IF(A5="","",Reps!C5)</f>
        <v/>
      </c>
      <c r="C5" s="15">
        <f>IF(OR(A5="",N(Reps!E5)&lt;=0,Actuals!B5=""),"",Actuals!B5/Reps!E5)</f>
        <v/>
      </c>
      <c r="D5" s="15">
        <f>IF(OR(A5="",N(Reps!F5)&lt;=0,Actuals!C5=""),"",Actuals!C5/Reps!F5)</f>
        <v/>
      </c>
      <c r="E5" s="15">
        <f>IF(OR(A5="",N(Actuals!D5)&lt;=0,Actuals!E5=""),"",Actuals!E5/Actuals!D5)</f>
        <v/>
      </c>
      <c r="F5" s="15">
        <f>IF(OR(A5="",N(Actuals!F5)+N(Actuals!G5)&lt;=0),"",N(Actuals!F5)/(N(Actuals!F5)+N(Actuals!G5)))</f>
        <v/>
      </c>
      <c r="G5" s="15">
        <f>IF(OR(A5="",Actuals!H5=""),"",IF(N(Actuals!B5)&lt;=0,IF(N(Actuals!H5)&gt;0,0,""),MAX(0,1-ABS(Actuals!B5-Actuals!H5)/Actuals!B5)))</f>
        <v/>
      </c>
      <c r="H5" s="15">
        <f>IF(OR(A5="",N(Actuals!I5)&lt;=0,Actuals!J5=""),"",Actuals!J5/Actuals!I5)</f>
        <v/>
      </c>
      <c r="I5" s="16">
        <f>IF(OR($A5="",C5=""),"",IF(SUMIFS(Setup!$F$16:$F$33,Setup!$A$16:$A$33,$B5,Setup!$B$16:$B$33,"Quota attainment")=SUMIFS(Setup!$E$16:$E$33,Setup!$A$16:$A$33,$B5,Setup!$B$16:$B$33,"Quota attainment"),"",MAX(0,MIN(SUMIFS(Setup!$G$16:$G$33,Setup!$A$16:$A$33,$B5,Setup!$B$16:$B$33,"Quota attainment"),(C5-SUMIFS(Setup!$E$16:$E$33,Setup!$A$16:$A$33,$B5,Setup!$B$16:$B$33,"Quota attainment"))/(SUMIFS(Setup!$F$16:$F$33,Setup!$A$16:$A$33,$B5,Setup!$B$16:$B$33,"Quota attainment")-SUMIFS(Setup!$E$16:$E$33,Setup!$A$16:$A$33,$B5,Setup!$B$16:$B$33,"Quota attainment"))*100))))</f>
        <v/>
      </c>
      <c r="J5" s="16">
        <f>IF(OR($A5="",D5=""),"",IF(SUMIFS(Setup!$F$16:$F$33,Setup!$A$16:$A$33,$B5,Setup!$B$16:$B$33,"Pipeline created")=SUMIFS(Setup!$E$16:$E$33,Setup!$A$16:$A$33,$B5,Setup!$B$16:$B$33,"Pipeline created"),"",MAX(0,MIN(SUMIFS(Setup!$G$16:$G$33,Setup!$A$16:$A$33,$B5,Setup!$B$16:$B$33,"Pipeline created"),(D5-SUMIFS(Setup!$E$16:$E$33,Setup!$A$16:$A$33,$B5,Setup!$B$16:$B$33,"Pipeline created"))/(SUMIFS(Setup!$F$16:$F$33,Setup!$A$16:$A$33,$B5,Setup!$B$16:$B$33,"Pipeline created")-SUMIFS(Setup!$E$16:$E$33,Setup!$A$16:$A$33,$B5,Setup!$B$16:$B$33,"Pipeline created"))*100))))</f>
        <v/>
      </c>
      <c r="K5" s="16">
        <f>IF(OR($A5="",E5=""),"",IF(SUMIFS(Setup!$F$16:$F$33,Setup!$A$16:$A$33,$B5,Setup!$B$16:$B$33,"Stage conversion")=SUMIFS(Setup!$E$16:$E$33,Setup!$A$16:$A$33,$B5,Setup!$B$16:$B$33,"Stage conversion"),"",MAX(0,MIN(SUMIFS(Setup!$G$16:$G$33,Setup!$A$16:$A$33,$B5,Setup!$B$16:$B$33,"Stage conversion"),(E5-SUMIFS(Setup!$E$16:$E$33,Setup!$A$16:$A$33,$B5,Setup!$B$16:$B$33,"Stage conversion"))/(SUMIFS(Setup!$F$16:$F$33,Setup!$A$16:$A$33,$B5,Setup!$B$16:$B$33,"Stage conversion")-SUMIFS(Setup!$E$16:$E$33,Setup!$A$16:$A$33,$B5,Setup!$B$16:$B$33,"Stage conversion"))*100))))</f>
        <v/>
      </c>
      <c r="L5" s="16">
        <f>IF(OR($A5="",F5=""),"",IF(SUMIFS(Setup!$F$16:$F$33,Setup!$A$16:$A$33,$B5,Setup!$B$16:$B$33,"Win rate")=SUMIFS(Setup!$E$16:$E$33,Setup!$A$16:$A$33,$B5,Setup!$B$16:$B$33,"Win rate"),"",MAX(0,MIN(SUMIFS(Setup!$G$16:$G$33,Setup!$A$16:$A$33,$B5,Setup!$B$16:$B$33,"Win rate"),(F5-SUMIFS(Setup!$E$16:$E$33,Setup!$A$16:$A$33,$B5,Setup!$B$16:$B$33,"Win rate"))/(SUMIFS(Setup!$F$16:$F$33,Setup!$A$16:$A$33,$B5,Setup!$B$16:$B$33,"Win rate")-SUMIFS(Setup!$E$16:$E$33,Setup!$A$16:$A$33,$B5,Setup!$B$16:$B$33,"Win rate"))*100))))</f>
        <v/>
      </c>
      <c r="M5" s="16">
        <f>IF(OR($A5="",G5=""),"",IF(SUMIFS(Setup!$F$16:$F$33,Setup!$A$16:$A$33,$B5,Setup!$B$16:$B$33,"Forecast accuracy")=SUMIFS(Setup!$E$16:$E$33,Setup!$A$16:$A$33,$B5,Setup!$B$16:$B$33,"Forecast accuracy"),"",MAX(0,MIN(SUMIFS(Setup!$G$16:$G$33,Setup!$A$16:$A$33,$B5,Setup!$B$16:$B$33,"Forecast accuracy"),(G5-SUMIFS(Setup!$E$16:$E$33,Setup!$A$16:$A$33,$B5,Setup!$B$16:$B$33,"Forecast accuracy"))/(SUMIFS(Setup!$F$16:$F$33,Setup!$A$16:$A$33,$B5,Setup!$B$16:$B$33,"Forecast accuracy")-SUMIFS(Setup!$E$16:$E$33,Setup!$A$16:$A$33,$B5,Setup!$B$16:$B$33,"Forecast accuracy"))*100))))</f>
        <v/>
      </c>
      <c r="N5" s="16">
        <f>IF(OR($A5="",H5=""),"",IF(SUMIFS(Setup!$F$16:$F$33,Setup!$A$16:$A$33,$B5,Setup!$B$16:$B$33,"Stale pipeline")=SUMIFS(Setup!$E$16:$E$33,Setup!$A$16:$A$33,$B5,Setup!$B$16:$B$33,"Stale pipeline"),"",MAX(0,MIN(SUMIFS(Setup!$G$16:$G$33,Setup!$A$16:$A$33,$B5,Setup!$B$16:$B$33,"Stale pipeline"),(H5-SUMIFS(Setup!$E$16:$E$33,Setup!$A$16:$A$33,$B5,Setup!$B$16:$B$33,"Stale pipeline"))/(SUMIFS(Setup!$F$16:$F$33,Setup!$A$16:$A$33,$B5,Setup!$B$16:$B$33,"Stale pipeline")-SUMIFS(Setup!$E$16:$E$33,Setup!$A$16:$A$33,$B5,Setup!$B$16:$B$33,"Stale pipeline"))*100))))</f>
        <v/>
      </c>
      <c r="O5" s="12">
        <f>IF(ISNUMBER(I5),SUMIFS(Setup!$D$16:$D$33,Setup!$A$16:$A$33,$B5,Setup!$B$16:$B$33,"Quota attainment"),0)</f>
        <v/>
      </c>
      <c r="P5" s="12">
        <f>IF(ISNUMBER(J5),SUMIFS(Setup!$D$16:$D$33,Setup!$A$16:$A$33,$B5,Setup!$B$16:$B$33,"Pipeline created"),0)</f>
        <v/>
      </c>
      <c r="Q5" s="12">
        <f>IF(ISNUMBER(K5),SUMIFS(Setup!$D$16:$D$33,Setup!$A$16:$A$33,$B5,Setup!$B$16:$B$33,"Stage conversion"),0)</f>
        <v/>
      </c>
      <c r="R5" s="12">
        <f>IF(ISNUMBER(L5),SUMIFS(Setup!$D$16:$D$33,Setup!$A$16:$A$33,$B5,Setup!$B$16:$B$33,"Win rate"),0)</f>
        <v/>
      </c>
      <c r="S5" s="12">
        <f>IF(ISNUMBER(M5),SUMIFS(Setup!$D$16:$D$33,Setup!$A$16:$A$33,$B5,Setup!$B$16:$B$33,"Forecast accuracy"),0)</f>
        <v/>
      </c>
      <c r="T5" s="12">
        <f>IF(ISNUMBER(N5),SUMIFS(Setup!$D$16:$D$33,Setup!$A$16:$A$33,$B5,Setup!$B$16:$B$33,"Stale pipeline"),0)</f>
        <v/>
      </c>
      <c r="U5" s="16">
        <f>IF(ISNUMBER(I5),O5*I5,0)</f>
        <v/>
      </c>
      <c r="V5" s="16">
        <f>IF(ISNUMBER(J5),P5*J5,0)</f>
        <v/>
      </c>
      <c r="W5" s="16">
        <f>IF(ISNUMBER(K5),Q5*K5,0)</f>
        <v/>
      </c>
      <c r="X5" s="16">
        <f>IF(ISNUMBER(L5),R5*L5,0)</f>
        <v/>
      </c>
      <c r="Y5" s="16">
        <f>IF(ISNUMBER(M5),S5*M5,0)</f>
        <v/>
      </c>
      <c r="Z5" s="16">
        <f>IF(ISNUMBER(N5),T5*N5,0)</f>
        <v/>
      </c>
      <c r="AA5" s="12">
        <f>SUM(O5:T5)</f>
        <v/>
      </c>
      <c r="AB5" s="16">
        <f>IF(OR(A5="",AA5&lt;=0),"",SUM(U5:Z5)/AA5)</f>
        <v/>
      </c>
      <c r="AC5" s="16">
        <f>IF(AND(ISNUMBER(I5),$AA5&gt;0),O5*MAX(0,100-I5)/$AA5,0)</f>
        <v/>
      </c>
      <c r="AD5" s="16">
        <f>IF(AND(ISNUMBER(J5),$AA5&gt;0),P5*MAX(0,100-J5)/$AA5,0)</f>
        <v/>
      </c>
      <c r="AE5" s="16">
        <f>IF(AND(ISNUMBER(K5),$AA5&gt;0),Q5*MAX(0,100-K5)/$AA5,0)</f>
        <v/>
      </c>
      <c r="AF5" s="16">
        <f>IF(AND(ISNUMBER(L5),$AA5&gt;0),R5*MAX(0,100-L5)/$AA5,0)</f>
        <v/>
      </c>
      <c r="AG5" s="16">
        <f>IF(AND(ISNUMBER(M5),$AA5&gt;0),S5*MAX(0,100-M5)/$AA5,0)</f>
        <v/>
      </c>
      <c r="AH5" s="16">
        <f>IF(AND(ISNUMBER(N5),$AA5&gt;0),T5*MAX(0,100-N5)/$AA5,0)</f>
        <v/>
      </c>
      <c r="AI5" s="13">
        <f>IF(AB5="","",IF(MAX(AC5:AH5)&lt;=0,"All at or above target",INDEX($AC$3:$AH$3,MATCH(MAX(AC5:AH5),AC5:AH5,0))))</f>
        <v/>
      </c>
      <c r="AJ5" s="13">
        <f>IF(AB5="","",IF(AB5&gt;=Setup!$B$10,Setup!$A$10,IF(AB5&gt;=Setup!$B$11,Setup!$A$11,IF(AB5&gt;=Setup!$B$12,Setup!$A$12,Setup!$A$13))))</f>
        <v/>
      </c>
      <c r="AK5" s="12">
        <f>IF(AB5="","",COUNTIF(AB$5:AB$34,"&gt;"&amp;AB5)+1)</f>
        <v/>
      </c>
      <c r="AL5" s="12">
        <f>IF(C5="","",COUNTIF(C$5:C$34,"&gt;"&amp;C5)+1)</f>
        <v/>
      </c>
      <c r="AM5" s="13">
        <f>IF(G5="","",IF(Actuals!B5&gt;Actuals!H5,"Under-called",IF(Actuals!B5&lt;Actuals!H5,"Over-called","Exact")))</f>
        <v/>
      </c>
    </row>
    <row r="6">
      <c r="A6" s="13">
        <f>IF(Reps!A6="","",Reps!A6)</f>
        <v/>
      </c>
      <c r="B6" s="13">
        <f>IF(A6="","",Reps!C6)</f>
        <v/>
      </c>
      <c r="C6" s="15">
        <f>IF(OR(A6="",N(Reps!E6)&lt;=0,Actuals!B6=""),"",Actuals!B6/Reps!E6)</f>
        <v/>
      </c>
      <c r="D6" s="15">
        <f>IF(OR(A6="",N(Reps!F6)&lt;=0,Actuals!C6=""),"",Actuals!C6/Reps!F6)</f>
        <v/>
      </c>
      <c r="E6" s="15">
        <f>IF(OR(A6="",N(Actuals!D6)&lt;=0,Actuals!E6=""),"",Actuals!E6/Actuals!D6)</f>
        <v/>
      </c>
      <c r="F6" s="15">
        <f>IF(OR(A6="",N(Actuals!F6)+N(Actuals!G6)&lt;=0),"",N(Actuals!F6)/(N(Actuals!F6)+N(Actuals!G6)))</f>
        <v/>
      </c>
      <c r="G6" s="15">
        <f>IF(OR(A6="",Actuals!H6=""),"",IF(N(Actuals!B6)&lt;=0,IF(N(Actuals!H6)&gt;0,0,""),MAX(0,1-ABS(Actuals!B6-Actuals!H6)/Actuals!B6)))</f>
        <v/>
      </c>
      <c r="H6" s="15">
        <f>IF(OR(A6="",N(Actuals!I6)&lt;=0,Actuals!J6=""),"",Actuals!J6/Actuals!I6)</f>
        <v/>
      </c>
      <c r="I6" s="16">
        <f>IF(OR($A6="",C6=""),"",IF(SUMIFS(Setup!$F$16:$F$33,Setup!$A$16:$A$33,$B6,Setup!$B$16:$B$33,"Quota attainment")=SUMIFS(Setup!$E$16:$E$33,Setup!$A$16:$A$33,$B6,Setup!$B$16:$B$33,"Quota attainment"),"",MAX(0,MIN(SUMIFS(Setup!$G$16:$G$33,Setup!$A$16:$A$33,$B6,Setup!$B$16:$B$33,"Quota attainment"),(C6-SUMIFS(Setup!$E$16:$E$33,Setup!$A$16:$A$33,$B6,Setup!$B$16:$B$33,"Quota attainment"))/(SUMIFS(Setup!$F$16:$F$33,Setup!$A$16:$A$33,$B6,Setup!$B$16:$B$33,"Quota attainment")-SUMIFS(Setup!$E$16:$E$33,Setup!$A$16:$A$33,$B6,Setup!$B$16:$B$33,"Quota attainment"))*100))))</f>
        <v/>
      </c>
      <c r="J6" s="16">
        <f>IF(OR($A6="",D6=""),"",IF(SUMIFS(Setup!$F$16:$F$33,Setup!$A$16:$A$33,$B6,Setup!$B$16:$B$33,"Pipeline created")=SUMIFS(Setup!$E$16:$E$33,Setup!$A$16:$A$33,$B6,Setup!$B$16:$B$33,"Pipeline created"),"",MAX(0,MIN(SUMIFS(Setup!$G$16:$G$33,Setup!$A$16:$A$33,$B6,Setup!$B$16:$B$33,"Pipeline created"),(D6-SUMIFS(Setup!$E$16:$E$33,Setup!$A$16:$A$33,$B6,Setup!$B$16:$B$33,"Pipeline created"))/(SUMIFS(Setup!$F$16:$F$33,Setup!$A$16:$A$33,$B6,Setup!$B$16:$B$33,"Pipeline created")-SUMIFS(Setup!$E$16:$E$33,Setup!$A$16:$A$33,$B6,Setup!$B$16:$B$33,"Pipeline created"))*100))))</f>
        <v/>
      </c>
      <c r="K6" s="16">
        <f>IF(OR($A6="",E6=""),"",IF(SUMIFS(Setup!$F$16:$F$33,Setup!$A$16:$A$33,$B6,Setup!$B$16:$B$33,"Stage conversion")=SUMIFS(Setup!$E$16:$E$33,Setup!$A$16:$A$33,$B6,Setup!$B$16:$B$33,"Stage conversion"),"",MAX(0,MIN(SUMIFS(Setup!$G$16:$G$33,Setup!$A$16:$A$33,$B6,Setup!$B$16:$B$33,"Stage conversion"),(E6-SUMIFS(Setup!$E$16:$E$33,Setup!$A$16:$A$33,$B6,Setup!$B$16:$B$33,"Stage conversion"))/(SUMIFS(Setup!$F$16:$F$33,Setup!$A$16:$A$33,$B6,Setup!$B$16:$B$33,"Stage conversion")-SUMIFS(Setup!$E$16:$E$33,Setup!$A$16:$A$33,$B6,Setup!$B$16:$B$33,"Stage conversion"))*100))))</f>
        <v/>
      </c>
      <c r="L6" s="16">
        <f>IF(OR($A6="",F6=""),"",IF(SUMIFS(Setup!$F$16:$F$33,Setup!$A$16:$A$33,$B6,Setup!$B$16:$B$33,"Win rate")=SUMIFS(Setup!$E$16:$E$33,Setup!$A$16:$A$33,$B6,Setup!$B$16:$B$33,"Win rate"),"",MAX(0,MIN(SUMIFS(Setup!$G$16:$G$33,Setup!$A$16:$A$33,$B6,Setup!$B$16:$B$33,"Win rate"),(F6-SUMIFS(Setup!$E$16:$E$33,Setup!$A$16:$A$33,$B6,Setup!$B$16:$B$33,"Win rate"))/(SUMIFS(Setup!$F$16:$F$33,Setup!$A$16:$A$33,$B6,Setup!$B$16:$B$33,"Win rate")-SUMIFS(Setup!$E$16:$E$33,Setup!$A$16:$A$33,$B6,Setup!$B$16:$B$33,"Win rate"))*100))))</f>
        <v/>
      </c>
      <c r="M6" s="16">
        <f>IF(OR($A6="",G6=""),"",IF(SUMIFS(Setup!$F$16:$F$33,Setup!$A$16:$A$33,$B6,Setup!$B$16:$B$33,"Forecast accuracy")=SUMIFS(Setup!$E$16:$E$33,Setup!$A$16:$A$33,$B6,Setup!$B$16:$B$33,"Forecast accuracy"),"",MAX(0,MIN(SUMIFS(Setup!$G$16:$G$33,Setup!$A$16:$A$33,$B6,Setup!$B$16:$B$33,"Forecast accuracy"),(G6-SUMIFS(Setup!$E$16:$E$33,Setup!$A$16:$A$33,$B6,Setup!$B$16:$B$33,"Forecast accuracy"))/(SUMIFS(Setup!$F$16:$F$33,Setup!$A$16:$A$33,$B6,Setup!$B$16:$B$33,"Forecast accuracy")-SUMIFS(Setup!$E$16:$E$33,Setup!$A$16:$A$33,$B6,Setup!$B$16:$B$33,"Forecast accuracy"))*100))))</f>
        <v/>
      </c>
      <c r="N6" s="16">
        <f>IF(OR($A6="",H6=""),"",IF(SUMIFS(Setup!$F$16:$F$33,Setup!$A$16:$A$33,$B6,Setup!$B$16:$B$33,"Stale pipeline")=SUMIFS(Setup!$E$16:$E$33,Setup!$A$16:$A$33,$B6,Setup!$B$16:$B$33,"Stale pipeline"),"",MAX(0,MIN(SUMIFS(Setup!$G$16:$G$33,Setup!$A$16:$A$33,$B6,Setup!$B$16:$B$33,"Stale pipeline"),(H6-SUMIFS(Setup!$E$16:$E$33,Setup!$A$16:$A$33,$B6,Setup!$B$16:$B$33,"Stale pipeline"))/(SUMIFS(Setup!$F$16:$F$33,Setup!$A$16:$A$33,$B6,Setup!$B$16:$B$33,"Stale pipeline")-SUMIFS(Setup!$E$16:$E$33,Setup!$A$16:$A$33,$B6,Setup!$B$16:$B$33,"Stale pipeline"))*100))))</f>
        <v/>
      </c>
      <c r="O6" s="12">
        <f>IF(ISNUMBER(I6),SUMIFS(Setup!$D$16:$D$33,Setup!$A$16:$A$33,$B6,Setup!$B$16:$B$33,"Quota attainment"),0)</f>
        <v/>
      </c>
      <c r="P6" s="12">
        <f>IF(ISNUMBER(J6),SUMIFS(Setup!$D$16:$D$33,Setup!$A$16:$A$33,$B6,Setup!$B$16:$B$33,"Pipeline created"),0)</f>
        <v/>
      </c>
      <c r="Q6" s="12">
        <f>IF(ISNUMBER(K6),SUMIFS(Setup!$D$16:$D$33,Setup!$A$16:$A$33,$B6,Setup!$B$16:$B$33,"Stage conversion"),0)</f>
        <v/>
      </c>
      <c r="R6" s="12">
        <f>IF(ISNUMBER(L6),SUMIFS(Setup!$D$16:$D$33,Setup!$A$16:$A$33,$B6,Setup!$B$16:$B$33,"Win rate"),0)</f>
        <v/>
      </c>
      <c r="S6" s="12">
        <f>IF(ISNUMBER(M6),SUMIFS(Setup!$D$16:$D$33,Setup!$A$16:$A$33,$B6,Setup!$B$16:$B$33,"Forecast accuracy"),0)</f>
        <v/>
      </c>
      <c r="T6" s="12">
        <f>IF(ISNUMBER(N6),SUMIFS(Setup!$D$16:$D$33,Setup!$A$16:$A$33,$B6,Setup!$B$16:$B$33,"Stale pipeline"),0)</f>
        <v/>
      </c>
      <c r="U6" s="16">
        <f>IF(ISNUMBER(I6),O6*I6,0)</f>
        <v/>
      </c>
      <c r="V6" s="16">
        <f>IF(ISNUMBER(J6),P6*J6,0)</f>
        <v/>
      </c>
      <c r="W6" s="16">
        <f>IF(ISNUMBER(K6),Q6*K6,0)</f>
        <v/>
      </c>
      <c r="X6" s="16">
        <f>IF(ISNUMBER(L6),R6*L6,0)</f>
        <v/>
      </c>
      <c r="Y6" s="16">
        <f>IF(ISNUMBER(M6),S6*M6,0)</f>
        <v/>
      </c>
      <c r="Z6" s="16">
        <f>IF(ISNUMBER(N6),T6*N6,0)</f>
        <v/>
      </c>
      <c r="AA6" s="12">
        <f>SUM(O6:T6)</f>
        <v/>
      </c>
      <c r="AB6" s="16">
        <f>IF(OR(A6="",AA6&lt;=0),"",SUM(U6:Z6)/AA6)</f>
        <v/>
      </c>
      <c r="AC6" s="16">
        <f>IF(AND(ISNUMBER(I6),$AA6&gt;0),O6*MAX(0,100-I6)/$AA6,0)</f>
        <v/>
      </c>
      <c r="AD6" s="16">
        <f>IF(AND(ISNUMBER(J6),$AA6&gt;0),P6*MAX(0,100-J6)/$AA6,0)</f>
        <v/>
      </c>
      <c r="AE6" s="16">
        <f>IF(AND(ISNUMBER(K6),$AA6&gt;0),Q6*MAX(0,100-K6)/$AA6,0)</f>
        <v/>
      </c>
      <c r="AF6" s="16">
        <f>IF(AND(ISNUMBER(L6),$AA6&gt;0),R6*MAX(0,100-L6)/$AA6,0)</f>
        <v/>
      </c>
      <c r="AG6" s="16">
        <f>IF(AND(ISNUMBER(M6),$AA6&gt;0),S6*MAX(0,100-M6)/$AA6,0)</f>
        <v/>
      </c>
      <c r="AH6" s="16">
        <f>IF(AND(ISNUMBER(N6),$AA6&gt;0),T6*MAX(0,100-N6)/$AA6,0)</f>
        <v/>
      </c>
      <c r="AI6" s="13">
        <f>IF(AB6="","",IF(MAX(AC6:AH6)&lt;=0,"All at or above target",INDEX($AC$3:$AH$3,MATCH(MAX(AC6:AH6),AC6:AH6,0))))</f>
        <v/>
      </c>
      <c r="AJ6" s="13">
        <f>IF(AB6="","",IF(AB6&gt;=Setup!$B$10,Setup!$A$10,IF(AB6&gt;=Setup!$B$11,Setup!$A$11,IF(AB6&gt;=Setup!$B$12,Setup!$A$12,Setup!$A$13))))</f>
        <v/>
      </c>
      <c r="AK6" s="12">
        <f>IF(AB6="","",COUNTIF(AB$5:AB$34,"&gt;"&amp;AB6)+1)</f>
        <v/>
      </c>
      <c r="AL6" s="12">
        <f>IF(C6="","",COUNTIF(C$5:C$34,"&gt;"&amp;C6)+1)</f>
        <v/>
      </c>
      <c r="AM6" s="13">
        <f>IF(G6="","",IF(Actuals!B6&gt;Actuals!H6,"Under-called",IF(Actuals!B6&lt;Actuals!H6,"Over-called","Exact")))</f>
        <v/>
      </c>
    </row>
    <row r="7">
      <c r="A7" s="13">
        <f>IF(Reps!A7="","",Reps!A7)</f>
        <v/>
      </c>
      <c r="B7" s="13">
        <f>IF(A7="","",Reps!C7)</f>
        <v/>
      </c>
      <c r="C7" s="15">
        <f>IF(OR(A7="",N(Reps!E7)&lt;=0,Actuals!B7=""),"",Actuals!B7/Reps!E7)</f>
        <v/>
      </c>
      <c r="D7" s="15">
        <f>IF(OR(A7="",N(Reps!F7)&lt;=0,Actuals!C7=""),"",Actuals!C7/Reps!F7)</f>
        <v/>
      </c>
      <c r="E7" s="15">
        <f>IF(OR(A7="",N(Actuals!D7)&lt;=0,Actuals!E7=""),"",Actuals!E7/Actuals!D7)</f>
        <v/>
      </c>
      <c r="F7" s="15">
        <f>IF(OR(A7="",N(Actuals!F7)+N(Actuals!G7)&lt;=0),"",N(Actuals!F7)/(N(Actuals!F7)+N(Actuals!G7)))</f>
        <v/>
      </c>
      <c r="G7" s="15">
        <f>IF(OR(A7="",Actuals!H7=""),"",IF(N(Actuals!B7)&lt;=0,IF(N(Actuals!H7)&gt;0,0,""),MAX(0,1-ABS(Actuals!B7-Actuals!H7)/Actuals!B7)))</f>
        <v/>
      </c>
      <c r="H7" s="15">
        <f>IF(OR(A7="",N(Actuals!I7)&lt;=0,Actuals!J7=""),"",Actuals!J7/Actuals!I7)</f>
        <v/>
      </c>
      <c r="I7" s="16">
        <f>IF(OR($A7="",C7=""),"",IF(SUMIFS(Setup!$F$16:$F$33,Setup!$A$16:$A$33,$B7,Setup!$B$16:$B$33,"Quota attainment")=SUMIFS(Setup!$E$16:$E$33,Setup!$A$16:$A$33,$B7,Setup!$B$16:$B$33,"Quota attainment"),"",MAX(0,MIN(SUMIFS(Setup!$G$16:$G$33,Setup!$A$16:$A$33,$B7,Setup!$B$16:$B$33,"Quota attainment"),(C7-SUMIFS(Setup!$E$16:$E$33,Setup!$A$16:$A$33,$B7,Setup!$B$16:$B$33,"Quota attainment"))/(SUMIFS(Setup!$F$16:$F$33,Setup!$A$16:$A$33,$B7,Setup!$B$16:$B$33,"Quota attainment")-SUMIFS(Setup!$E$16:$E$33,Setup!$A$16:$A$33,$B7,Setup!$B$16:$B$33,"Quota attainment"))*100))))</f>
        <v/>
      </c>
      <c r="J7" s="16">
        <f>IF(OR($A7="",D7=""),"",IF(SUMIFS(Setup!$F$16:$F$33,Setup!$A$16:$A$33,$B7,Setup!$B$16:$B$33,"Pipeline created")=SUMIFS(Setup!$E$16:$E$33,Setup!$A$16:$A$33,$B7,Setup!$B$16:$B$33,"Pipeline created"),"",MAX(0,MIN(SUMIFS(Setup!$G$16:$G$33,Setup!$A$16:$A$33,$B7,Setup!$B$16:$B$33,"Pipeline created"),(D7-SUMIFS(Setup!$E$16:$E$33,Setup!$A$16:$A$33,$B7,Setup!$B$16:$B$33,"Pipeline created"))/(SUMIFS(Setup!$F$16:$F$33,Setup!$A$16:$A$33,$B7,Setup!$B$16:$B$33,"Pipeline created")-SUMIFS(Setup!$E$16:$E$33,Setup!$A$16:$A$33,$B7,Setup!$B$16:$B$33,"Pipeline created"))*100))))</f>
        <v/>
      </c>
      <c r="K7" s="16">
        <f>IF(OR($A7="",E7=""),"",IF(SUMIFS(Setup!$F$16:$F$33,Setup!$A$16:$A$33,$B7,Setup!$B$16:$B$33,"Stage conversion")=SUMIFS(Setup!$E$16:$E$33,Setup!$A$16:$A$33,$B7,Setup!$B$16:$B$33,"Stage conversion"),"",MAX(0,MIN(SUMIFS(Setup!$G$16:$G$33,Setup!$A$16:$A$33,$B7,Setup!$B$16:$B$33,"Stage conversion"),(E7-SUMIFS(Setup!$E$16:$E$33,Setup!$A$16:$A$33,$B7,Setup!$B$16:$B$33,"Stage conversion"))/(SUMIFS(Setup!$F$16:$F$33,Setup!$A$16:$A$33,$B7,Setup!$B$16:$B$33,"Stage conversion")-SUMIFS(Setup!$E$16:$E$33,Setup!$A$16:$A$33,$B7,Setup!$B$16:$B$33,"Stage conversion"))*100))))</f>
        <v/>
      </c>
      <c r="L7" s="16">
        <f>IF(OR($A7="",F7=""),"",IF(SUMIFS(Setup!$F$16:$F$33,Setup!$A$16:$A$33,$B7,Setup!$B$16:$B$33,"Win rate")=SUMIFS(Setup!$E$16:$E$33,Setup!$A$16:$A$33,$B7,Setup!$B$16:$B$33,"Win rate"),"",MAX(0,MIN(SUMIFS(Setup!$G$16:$G$33,Setup!$A$16:$A$33,$B7,Setup!$B$16:$B$33,"Win rate"),(F7-SUMIFS(Setup!$E$16:$E$33,Setup!$A$16:$A$33,$B7,Setup!$B$16:$B$33,"Win rate"))/(SUMIFS(Setup!$F$16:$F$33,Setup!$A$16:$A$33,$B7,Setup!$B$16:$B$33,"Win rate")-SUMIFS(Setup!$E$16:$E$33,Setup!$A$16:$A$33,$B7,Setup!$B$16:$B$33,"Win rate"))*100))))</f>
        <v/>
      </c>
      <c r="M7" s="16">
        <f>IF(OR($A7="",G7=""),"",IF(SUMIFS(Setup!$F$16:$F$33,Setup!$A$16:$A$33,$B7,Setup!$B$16:$B$33,"Forecast accuracy")=SUMIFS(Setup!$E$16:$E$33,Setup!$A$16:$A$33,$B7,Setup!$B$16:$B$33,"Forecast accuracy"),"",MAX(0,MIN(SUMIFS(Setup!$G$16:$G$33,Setup!$A$16:$A$33,$B7,Setup!$B$16:$B$33,"Forecast accuracy"),(G7-SUMIFS(Setup!$E$16:$E$33,Setup!$A$16:$A$33,$B7,Setup!$B$16:$B$33,"Forecast accuracy"))/(SUMIFS(Setup!$F$16:$F$33,Setup!$A$16:$A$33,$B7,Setup!$B$16:$B$33,"Forecast accuracy")-SUMIFS(Setup!$E$16:$E$33,Setup!$A$16:$A$33,$B7,Setup!$B$16:$B$33,"Forecast accuracy"))*100))))</f>
        <v/>
      </c>
      <c r="N7" s="16">
        <f>IF(OR($A7="",H7=""),"",IF(SUMIFS(Setup!$F$16:$F$33,Setup!$A$16:$A$33,$B7,Setup!$B$16:$B$33,"Stale pipeline")=SUMIFS(Setup!$E$16:$E$33,Setup!$A$16:$A$33,$B7,Setup!$B$16:$B$33,"Stale pipeline"),"",MAX(0,MIN(SUMIFS(Setup!$G$16:$G$33,Setup!$A$16:$A$33,$B7,Setup!$B$16:$B$33,"Stale pipeline"),(H7-SUMIFS(Setup!$E$16:$E$33,Setup!$A$16:$A$33,$B7,Setup!$B$16:$B$33,"Stale pipeline"))/(SUMIFS(Setup!$F$16:$F$33,Setup!$A$16:$A$33,$B7,Setup!$B$16:$B$33,"Stale pipeline")-SUMIFS(Setup!$E$16:$E$33,Setup!$A$16:$A$33,$B7,Setup!$B$16:$B$33,"Stale pipeline"))*100))))</f>
        <v/>
      </c>
      <c r="O7" s="12">
        <f>IF(ISNUMBER(I7),SUMIFS(Setup!$D$16:$D$33,Setup!$A$16:$A$33,$B7,Setup!$B$16:$B$33,"Quota attainment"),0)</f>
        <v/>
      </c>
      <c r="P7" s="12">
        <f>IF(ISNUMBER(J7),SUMIFS(Setup!$D$16:$D$33,Setup!$A$16:$A$33,$B7,Setup!$B$16:$B$33,"Pipeline created"),0)</f>
        <v/>
      </c>
      <c r="Q7" s="12">
        <f>IF(ISNUMBER(K7),SUMIFS(Setup!$D$16:$D$33,Setup!$A$16:$A$33,$B7,Setup!$B$16:$B$33,"Stage conversion"),0)</f>
        <v/>
      </c>
      <c r="R7" s="12">
        <f>IF(ISNUMBER(L7),SUMIFS(Setup!$D$16:$D$33,Setup!$A$16:$A$33,$B7,Setup!$B$16:$B$33,"Win rate"),0)</f>
        <v/>
      </c>
      <c r="S7" s="12">
        <f>IF(ISNUMBER(M7),SUMIFS(Setup!$D$16:$D$33,Setup!$A$16:$A$33,$B7,Setup!$B$16:$B$33,"Forecast accuracy"),0)</f>
        <v/>
      </c>
      <c r="T7" s="12">
        <f>IF(ISNUMBER(N7),SUMIFS(Setup!$D$16:$D$33,Setup!$A$16:$A$33,$B7,Setup!$B$16:$B$33,"Stale pipeline"),0)</f>
        <v/>
      </c>
      <c r="U7" s="16">
        <f>IF(ISNUMBER(I7),O7*I7,0)</f>
        <v/>
      </c>
      <c r="V7" s="16">
        <f>IF(ISNUMBER(J7),P7*J7,0)</f>
        <v/>
      </c>
      <c r="W7" s="16">
        <f>IF(ISNUMBER(K7),Q7*K7,0)</f>
        <v/>
      </c>
      <c r="X7" s="16">
        <f>IF(ISNUMBER(L7),R7*L7,0)</f>
        <v/>
      </c>
      <c r="Y7" s="16">
        <f>IF(ISNUMBER(M7),S7*M7,0)</f>
        <v/>
      </c>
      <c r="Z7" s="16">
        <f>IF(ISNUMBER(N7),T7*N7,0)</f>
        <v/>
      </c>
      <c r="AA7" s="12">
        <f>SUM(O7:T7)</f>
        <v/>
      </c>
      <c r="AB7" s="16">
        <f>IF(OR(A7="",AA7&lt;=0),"",SUM(U7:Z7)/AA7)</f>
        <v/>
      </c>
      <c r="AC7" s="16">
        <f>IF(AND(ISNUMBER(I7),$AA7&gt;0),O7*MAX(0,100-I7)/$AA7,0)</f>
        <v/>
      </c>
      <c r="AD7" s="16">
        <f>IF(AND(ISNUMBER(J7),$AA7&gt;0),P7*MAX(0,100-J7)/$AA7,0)</f>
        <v/>
      </c>
      <c r="AE7" s="16">
        <f>IF(AND(ISNUMBER(K7),$AA7&gt;0),Q7*MAX(0,100-K7)/$AA7,0)</f>
        <v/>
      </c>
      <c r="AF7" s="16">
        <f>IF(AND(ISNUMBER(L7),$AA7&gt;0),R7*MAX(0,100-L7)/$AA7,0)</f>
        <v/>
      </c>
      <c r="AG7" s="16">
        <f>IF(AND(ISNUMBER(M7),$AA7&gt;0),S7*MAX(0,100-M7)/$AA7,0)</f>
        <v/>
      </c>
      <c r="AH7" s="16">
        <f>IF(AND(ISNUMBER(N7),$AA7&gt;0),T7*MAX(0,100-N7)/$AA7,0)</f>
        <v/>
      </c>
      <c r="AI7" s="13">
        <f>IF(AB7="","",IF(MAX(AC7:AH7)&lt;=0,"All at or above target",INDEX($AC$3:$AH$3,MATCH(MAX(AC7:AH7),AC7:AH7,0))))</f>
        <v/>
      </c>
      <c r="AJ7" s="13">
        <f>IF(AB7="","",IF(AB7&gt;=Setup!$B$10,Setup!$A$10,IF(AB7&gt;=Setup!$B$11,Setup!$A$11,IF(AB7&gt;=Setup!$B$12,Setup!$A$12,Setup!$A$13))))</f>
        <v/>
      </c>
      <c r="AK7" s="12">
        <f>IF(AB7="","",COUNTIF(AB$5:AB$34,"&gt;"&amp;AB7)+1)</f>
        <v/>
      </c>
      <c r="AL7" s="12">
        <f>IF(C7="","",COUNTIF(C$5:C$34,"&gt;"&amp;C7)+1)</f>
        <v/>
      </c>
      <c r="AM7" s="13">
        <f>IF(G7="","",IF(Actuals!B7&gt;Actuals!H7,"Under-called",IF(Actuals!B7&lt;Actuals!H7,"Over-called","Exact")))</f>
        <v/>
      </c>
    </row>
    <row r="8">
      <c r="A8" s="13">
        <f>IF(Reps!A8="","",Reps!A8)</f>
        <v/>
      </c>
      <c r="B8" s="13">
        <f>IF(A8="","",Reps!C8)</f>
        <v/>
      </c>
      <c r="C8" s="15">
        <f>IF(OR(A8="",N(Reps!E8)&lt;=0,Actuals!B8=""),"",Actuals!B8/Reps!E8)</f>
        <v/>
      </c>
      <c r="D8" s="15">
        <f>IF(OR(A8="",N(Reps!F8)&lt;=0,Actuals!C8=""),"",Actuals!C8/Reps!F8)</f>
        <v/>
      </c>
      <c r="E8" s="15">
        <f>IF(OR(A8="",N(Actuals!D8)&lt;=0,Actuals!E8=""),"",Actuals!E8/Actuals!D8)</f>
        <v/>
      </c>
      <c r="F8" s="15">
        <f>IF(OR(A8="",N(Actuals!F8)+N(Actuals!G8)&lt;=0),"",N(Actuals!F8)/(N(Actuals!F8)+N(Actuals!G8)))</f>
        <v/>
      </c>
      <c r="G8" s="15">
        <f>IF(OR(A8="",Actuals!H8=""),"",IF(N(Actuals!B8)&lt;=0,IF(N(Actuals!H8)&gt;0,0,""),MAX(0,1-ABS(Actuals!B8-Actuals!H8)/Actuals!B8)))</f>
        <v/>
      </c>
      <c r="H8" s="15">
        <f>IF(OR(A8="",N(Actuals!I8)&lt;=0,Actuals!J8=""),"",Actuals!J8/Actuals!I8)</f>
        <v/>
      </c>
      <c r="I8" s="16">
        <f>IF(OR($A8="",C8=""),"",IF(SUMIFS(Setup!$F$16:$F$33,Setup!$A$16:$A$33,$B8,Setup!$B$16:$B$33,"Quota attainment")=SUMIFS(Setup!$E$16:$E$33,Setup!$A$16:$A$33,$B8,Setup!$B$16:$B$33,"Quota attainment"),"",MAX(0,MIN(SUMIFS(Setup!$G$16:$G$33,Setup!$A$16:$A$33,$B8,Setup!$B$16:$B$33,"Quota attainment"),(C8-SUMIFS(Setup!$E$16:$E$33,Setup!$A$16:$A$33,$B8,Setup!$B$16:$B$33,"Quota attainment"))/(SUMIFS(Setup!$F$16:$F$33,Setup!$A$16:$A$33,$B8,Setup!$B$16:$B$33,"Quota attainment")-SUMIFS(Setup!$E$16:$E$33,Setup!$A$16:$A$33,$B8,Setup!$B$16:$B$33,"Quota attainment"))*100))))</f>
        <v/>
      </c>
      <c r="J8" s="16">
        <f>IF(OR($A8="",D8=""),"",IF(SUMIFS(Setup!$F$16:$F$33,Setup!$A$16:$A$33,$B8,Setup!$B$16:$B$33,"Pipeline created")=SUMIFS(Setup!$E$16:$E$33,Setup!$A$16:$A$33,$B8,Setup!$B$16:$B$33,"Pipeline created"),"",MAX(0,MIN(SUMIFS(Setup!$G$16:$G$33,Setup!$A$16:$A$33,$B8,Setup!$B$16:$B$33,"Pipeline created"),(D8-SUMIFS(Setup!$E$16:$E$33,Setup!$A$16:$A$33,$B8,Setup!$B$16:$B$33,"Pipeline created"))/(SUMIFS(Setup!$F$16:$F$33,Setup!$A$16:$A$33,$B8,Setup!$B$16:$B$33,"Pipeline created")-SUMIFS(Setup!$E$16:$E$33,Setup!$A$16:$A$33,$B8,Setup!$B$16:$B$33,"Pipeline created"))*100))))</f>
        <v/>
      </c>
      <c r="K8" s="16">
        <f>IF(OR($A8="",E8=""),"",IF(SUMIFS(Setup!$F$16:$F$33,Setup!$A$16:$A$33,$B8,Setup!$B$16:$B$33,"Stage conversion")=SUMIFS(Setup!$E$16:$E$33,Setup!$A$16:$A$33,$B8,Setup!$B$16:$B$33,"Stage conversion"),"",MAX(0,MIN(SUMIFS(Setup!$G$16:$G$33,Setup!$A$16:$A$33,$B8,Setup!$B$16:$B$33,"Stage conversion"),(E8-SUMIFS(Setup!$E$16:$E$33,Setup!$A$16:$A$33,$B8,Setup!$B$16:$B$33,"Stage conversion"))/(SUMIFS(Setup!$F$16:$F$33,Setup!$A$16:$A$33,$B8,Setup!$B$16:$B$33,"Stage conversion")-SUMIFS(Setup!$E$16:$E$33,Setup!$A$16:$A$33,$B8,Setup!$B$16:$B$33,"Stage conversion"))*100))))</f>
        <v/>
      </c>
      <c r="L8" s="16">
        <f>IF(OR($A8="",F8=""),"",IF(SUMIFS(Setup!$F$16:$F$33,Setup!$A$16:$A$33,$B8,Setup!$B$16:$B$33,"Win rate")=SUMIFS(Setup!$E$16:$E$33,Setup!$A$16:$A$33,$B8,Setup!$B$16:$B$33,"Win rate"),"",MAX(0,MIN(SUMIFS(Setup!$G$16:$G$33,Setup!$A$16:$A$33,$B8,Setup!$B$16:$B$33,"Win rate"),(F8-SUMIFS(Setup!$E$16:$E$33,Setup!$A$16:$A$33,$B8,Setup!$B$16:$B$33,"Win rate"))/(SUMIFS(Setup!$F$16:$F$33,Setup!$A$16:$A$33,$B8,Setup!$B$16:$B$33,"Win rate")-SUMIFS(Setup!$E$16:$E$33,Setup!$A$16:$A$33,$B8,Setup!$B$16:$B$33,"Win rate"))*100))))</f>
        <v/>
      </c>
      <c r="M8" s="16">
        <f>IF(OR($A8="",G8=""),"",IF(SUMIFS(Setup!$F$16:$F$33,Setup!$A$16:$A$33,$B8,Setup!$B$16:$B$33,"Forecast accuracy")=SUMIFS(Setup!$E$16:$E$33,Setup!$A$16:$A$33,$B8,Setup!$B$16:$B$33,"Forecast accuracy"),"",MAX(0,MIN(SUMIFS(Setup!$G$16:$G$33,Setup!$A$16:$A$33,$B8,Setup!$B$16:$B$33,"Forecast accuracy"),(G8-SUMIFS(Setup!$E$16:$E$33,Setup!$A$16:$A$33,$B8,Setup!$B$16:$B$33,"Forecast accuracy"))/(SUMIFS(Setup!$F$16:$F$33,Setup!$A$16:$A$33,$B8,Setup!$B$16:$B$33,"Forecast accuracy")-SUMIFS(Setup!$E$16:$E$33,Setup!$A$16:$A$33,$B8,Setup!$B$16:$B$33,"Forecast accuracy"))*100))))</f>
        <v/>
      </c>
      <c r="N8" s="16">
        <f>IF(OR($A8="",H8=""),"",IF(SUMIFS(Setup!$F$16:$F$33,Setup!$A$16:$A$33,$B8,Setup!$B$16:$B$33,"Stale pipeline")=SUMIFS(Setup!$E$16:$E$33,Setup!$A$16:$A$33,$B8,Setup!$B$16:$B$33,"Stale pipeline"),"",MAX(0,MIN(SUMIFS(Setup!$G$16:$G$33,Setup!$A$16:$A$33,$B8,Setup!$B$16:$B$33,"Stale pipeline"),(H8-SUMIFS(Setup!$E$16:$E$33,Setup!$A$16:$A$33,$B8,Setup!$B$16:$B$33,"Stale pipeline"))/(SUMIFS(Setup!$F$16:$F$33,Setup!$A$16:$A$33,$B8,Setup!$B$16:$B$33,"Stale pipeline")-SUMIFS(Setup!$E$16:$E$33,Setup!$A$16:$A$33,$B8,Setup!$B$16:$B$33,"Stale pipeline"))*100))))</f>
        <v/>
      </c>
      <c r="O8" s="12">
        <f>IF(ISNUMBER(I8),SUMIFS(Setup!$D$16:$D$33,Setup!$A$16:$A$33,$B8,Setup!$B$16:$B$33,"Quota attainment"),0)</f>
        <v/>
      </c>
      <c r="P8" s="12">
        <f>IF(ISNUMBER(J8),SUMIFS(Setup!$D$16:$D$33,Setup!$A$16:$A$33,$B8,Setup!$B$16:$B$33,"Pipeline created"),0)</f>
        <v/>
      </c>
      <c r="Q8" s="12">
        <f>IF(ISNUMBER(K8),SUMIFS(Setup!$D$16:$D$33,Setup!$A$16:$A$33,$B8,Setup!$B$16:$B$33,"Stage conversion"),0)</f>
        <v/>
      </c>
      <c r="R8" s="12">
        <f>IF(ISNUMBER(L8),SUMIFS(Setup!$D$16:$D$33,Setup!$A$16:$A$33,$B8,Setup!$B$16:$B$33,"Win rate"),0)</f>
        <v/>
      </c>
      <c r="S8" s="12">
        <f>IF(ISNUMBER(M8),SUMIFS(Setup!$D$16:$D$33,Setup!$A$16:$A$33,$B8,Setup!$B$16:$B$33,"Forecast accuracy"),0)</f>
        <v/>
      </c>
      <c r="T8" s="12">
        <f>IF(ISNUMBER(N8),SUMIFS(Setup!$D$16:$D$33,Setup!$A$16:$A$33,$B8,Setup!$B$16:$B$33,"Stale pipeline"),0)</f>
        <v/>
      </c>
      <c r="U8" s="16">
        <f>IF(ISNUMBER(I8),O8*I8,0)</f>
        <v/>
      </c>
      <c r="V8" s="16">
        <f>IF(ISNUMBER(J8),P8*J8,0)</f>
        <v/>
      </c>
      <c r="W8" s="16">
        <f>IF(ISNUMBER(K8),Q8*K8,0)</f>
        <v/>
      </c>
      <c r="X8" s="16">
        <f>IF(ISNUMBER(L8),R8*L8,0)</f>
        <v/>
      </c>
      <c r="Y8" s="16">
        <f>IF(ISNUMBER(M8),S8*M8,0)</f>
        <v/>
      </c>
      <c r="Z8" s="16">
        <f>IF(ISNUMBER(N8),T8*N8,0)</f>
        <v/>
      </c>
      <c r="AA8" s="12">
        <f>SUM(O8:T8)</f>
        <v/>
      </c>
      <c r="AB8" s="16">
        <f>IF(OR(A8="",AA8&lt;=0),"",SUM(U8:Z8)/AA8)</f>
        <v/>
      </c>
      <c r="AC8" s="16">
        <f>IF(AND(ISNUMBER(I8),$AA8&gt;0),O8*MAX(0,100-I8)/$AA8,0)</f>
        <v/>
      </c>
      <c r="AD8" s="16">
        <f>IF(AND(ISNUMBER(J8),$AA8&gt;0),P8*MAX(0,100-J8)/$AA8,0)</f>
        <v/>
      </c>
      <c r="AE8" s="16">
        <f>IF(AND(ISNUMBER(K8),$AA8&gt;0),Q8*MAX(0,100-K8)/$AA8,0)</f>
        <v/>
      </c>
      <c r="AF8" s="16">
        <f>IF(AND(ISNUMBER(L8),$AA8&gt;0),R8*MAX(0,100-L8)/$AA8,0)</f>
        <v/>
      </c>
      <c r="AG8" s="16">
        <f>IF(AND(ISNUMBER(M8),$AA8&gt;0),S8*MAX(0,100-M8)/$AA8,0)</f>
        <v/>
      </c>
      <c r="AH8" s="16">
        <f>IF(AND(ISNUMBER(N8),$AA8&gt;0),T8*MAX(0,100-N8)/$AA8,0)</f>
        <v/>
      </c>
      <c r="AI8" s="13">
        <f>IF(AB8="","",IF(MAX(AC8:AH8)&lt;=0,"All at or above target",INDEX($AC$3:$AH$3,MATCH(MAX(AC8:AH8),AC8:AH8,0))))</f>
        <v/>
      </c>
      <c r="AJ8" s="13">
        <f>IF(AB8="","",IF(AB8&gt;=Setup!$B$10,Setup!$A$10,IF(AB8&gt;=Setup!$B$11,Setup!$A$11,IF(AB8&gt;=Setup!$B$12,Setup!$A$12,Setup!$A$13))))</f>
        <v/>
      </c>
      <c r="AK8" s="12">
        <f>IF(AB8="","",COUNTIF(AB$5:AB$34,"&gt;"&amp;AB8)+1)</f>
        <v/>
      </c>
      <c r="AL8" s="12">
        <f>IF(C8="","",COUNTIF(C$5:C$34,"&gt;"&amp;C8)+1)</f>
        <v/>
      </c>
      <c r="AM8" s="13">
        <f>IF(G8="","",IF(Actuals!B8&gt;Actuals!H8,"Under-called",IF(Actuals!B8&lt;Actuals!H8,"Over-called","Exact")))</f>
        <v/>
      </c>
    </row>
    <row r="9">
      <c r="A9" s="13">
        <f>IF(Reps!A9="","",Reps!A9)</f>
        <v/>
      </c>
      <c r="B9" s="13">
        <f>IF(A9="","",Reps!C9)</f>
        <v/>
      </c>
      <c r="C9" s="15">
        <f>IF(OR(A9="",N(Reps!E9)&lt;=0,Actuals!B9=""),"",Actuals!B9/Reps!E9)</f>
        <v/>
      </c>
      <c r="D9" s="15">
        <f>IF(OR(A9="",N(Reps!F9)&lt;=0,Actuals!C9=""),"",Actuals!C9/Reps!F9)</f>
        <v/>
      </c>
      <c r="E9" s="15">
        <f>IF(OR(A9="",N(Actuals!D9)&lt;=0,Actuals!E9=""),"",Actuals!E9/Actuals!D9)</f>
        <v/>
      </c>
      <c r="F9" s="15">
        <f>IF(OR(A9="",N(Actuals!F9)+N(Actuals!G9)&lt;=0),"",N(Actuals!F9)/(N(Actuals!F9)+N(Actuals!G9)))</f>
        <v/>
      </c>
      <c r="G9" s="15">
        <f>IF(OR(A9="",Actuals!H9=""),"",IF(N(Actuals!B9)&lt;=0,IF(N(Actuals!H9)&gt;0,0,""),MAX(0,1-ABS(Actuals!B9-Actuals!H9)/Actuals!B9)))</f>
        <v/>
      </c>
      <c r="H9" s="15">
        <f>IF(OR(A9="",N(Actuals!I9)&lt;=0,Actuals!J9=""),"",Actuals!J9/Actuals!I9)</f>
        <v/>
      </c>
      <c r="I9" s="16">
        <f>IF(OR($A9="",C9=""),"",IF(SUMIFS(Setup!$F$16:$F$33,Setup!$A$16:$A$33,$B9,Setup!$B$16:$B$33,"Quota attainment")=SUMIFS(Setup!$E$16:$E$33,Setup!$A$16:$A$33,$B9,Setup!$B$16:$B$33,"Quota attainment"),"",MAX(0,MIN(SUMIFS(Setup!$G$16:$G$33,Setup!$A$16:$A$33,$B9,Setup!$B$16:$B$33,"Quota attainment"),(C9-SUMIFS(Setup!$E$16:$E$33,Setup!$A$16:$A$33,$B9,Setup!$B$16:$B$33,"Quota attainment"))/(SUMIFS(Setup!$F$16:$F$33,Setup!$A$16:$A$33,$B9,Setup!$B$16:$B$33,"Quota attainment")-SUMIFS(Setup!$E$16:$E$33,Setup!$A$16:$A$33,$B9,Setup!$B$16:$B$33,"Quota attainment"))*100))))</f>
        <v/>
      </c>
      <c r="J9" s="16">
        <f>IF(OR($A9="",D9=""),"",IF(SUMIFS(Setup!$F$16:$F$33,Setup!$A$16:$A$33,$B9,Setup!$B$16:$B$33,"Pipeline created")=SUMIFS(Setup!$E$16:$E$33,Setup!$A$16:$A$33,$B9,Setup!$B$16:$B$33,"Pipeline created"),"",MAX(0,MIN(SUMIFS(Setup!$G$16:$G$33,Setup!$A$16:$A$33,$B9,Setup!$B$16:$B$33,"Pipeline created"),(D9-SUMIFS(Setup!$E$16:$E$33,Setup!$A$16:$A$33,$B9,Setup!$B$16:$B$33,"Pipeline created"))/(SUMIFS(Setup!$F$16:$F$33,Setup!$A$16:$A$33,$B9,Setup!$B$16:$B$33,"Pipeline created")-SUMIFS(Setup!$E$16:$E$33,Setup!$A$16:$A$33,$B9,Setup!$B$16:$B$33,"Pipeline created"))*100))))</f>
        <v/>
      </c>
      <c r="K9" s="16">
        <f>IF(OR($A9="",E9=""),"",IF(SUMIFS(Setup!$F$16:$F$33,Setup!$A$16:$A$33,$B9,Setup!$B$16:$B$33,"Stage conversion")=SUMIFS(Setup!$E$16:$E$33,Setup!$A$16:$A$33,$B9,Setup!$B$16:$B$33,"Stage conversion"),"",MAX(0,MIN(SUMIFS(Setup!$G$16:$G$33,Setup!$A$16:$A$33,$B9,Setup!$B$16:$B$33,"Stage conversion"),(E9-SUMIFS(Setup!$E$16:$E$33,Setup!$A$16:$A$33,$B9,Setup!$B$16:$B$33,"Stage conversion"))/(SUMIFS(Setup!$F$16:$F$33,Setup!$A$16:$A$33,$B9,Setup!$B$16:$B$33,"Stage conversion")-SUMIFS(Setup!$E$16:$E$33,Setup!$A$16:$A$33,$B9,Setup!$B$16:$B$33,"Stage conversion"))*100))))</f>
        <v/>
      </c>
      <c r="L9" s="16">
        <f>IF(OR($A9="",F9=""),"",IF(SUMIFS(Setup!$F$16:$F$33,Setup!$A$16:$A$33,$B9,Setup!$B$16:$B$33,"Win rate")=SUMIFS(Setup!$E$16:$E$33,Setup!$A$16:$A$33,$B9,Setup!$B$16:$B$33,"Win rate"),"",MAX(0,MIN(SUMIFS(Setup!$G$16:$G$33,Setup!$A$16:$A$33,$B9,Setup!$B$16:$B$33,"Win rate"),(F9-SUMIFS(Setup!$E$16:$E$33,Setup!$A$16:$A$33,$B9,Setup!$B$16:$B$33,"Win rate"))/(SUMIFS(Setup!$F$16:$F$33,Setup!$A$16:$A$33,$B9,Setup!$B$16:$B$33,"Win rate")-SUMIFS(Setup!$E$16:$E$33,Setup!$A$16:$A$33,$B9,Setup!$B$16:$B$33,"Win rate"))*100))))</f>
        <v/>
      </c>
      <c r="M9" s="16">
        <f>IF(OR($A9="",G9=""),"",IF(SUMIFS(Setup!$F$16:$F$33,Setup!$A$16:$A$33,$B9,Setup!$B$16:$B$33,"Forecast accuracy")=SUMIFS(Setup!$E$16:$E$33,Setup!$A$16:$A$33,$B9,Setup!$B$16:$B$33,"Forecast accuracy"),"",MAX(0,MIN(SUMIFS(Setup!$G$16:$G$33,Setup!$A$16:$A$33,$B9,Setup!$B$16:$B$33,"Forecast accuracy"),(G9-SUMIFS(Setup!$E$16:$E$33,Setup!$A$16:$A$33,$B9,Setup!$B$16:$B$33,"Forecast accuracy"))/(SUMIFS(Setup!$F$16:$F$33,Setup!$A$16:$A$33,$B9,Setup!$B$16:$B$33,"Forecast accuracy")-SUMIFS(Setup!$E$16:$E$33,Setup!$A$16:$A$33,$B9,Setup!$B$16:$B$33,"Forecast accuracy"))*100))))</f>
        <v/>
      </c>
      <c r="N9" s="16">
        <f>IF(OR($A9="",H9=""),"",IF(SUMIFS(Setup!$F$16:$F$33,Setup!$A$16:$A$33,$B9,Setup!$B$16:$B$33,"Stale pipeline")=SUMIFS(Setup!$E$16:$E$33,Setup!$A$16:$A$33,$B9,Setup!$B$16:$B$33,"Stale pipeline"),"",MAX(0,MIN(SUMIFS(Setup!$G$16:$G$33,Setup!$A$16:$A$33,$B9,Setup!$B$16:$B$33,"Stale pipeline"),(H9-SUMIFS(Setup!$E$16:$E$33,Setup!$A$16:$A$33,$B9,Setup!$B$16:$B$33,"Stale pipeline"))/(SUMIFS(Setup!$F$16:$F$33,Setup!$A$16:$A$33,$B9,Setup!$B$16:$B$33,"Stale pipeline")-SUMIFS(Setup!$E$16:$E$33,Setup!$A$16:$A$33,$B9,Setup!$B$16:$B$33,"Stale pipeline"))*100))))</f>
        <v/>
      </c>
      <c r="O9" s="12">
        <f>IF(ISNUMBER(I9),SUMIFS(Setup!$D$16:$D$33,Setup!$A$16:$A$33,$B9,Setup!$B$16:$B$33,"Quota attainment"),0)</f>
        <v/>
      </c>
      <c r="P9" s="12">
        <f>IF(ISNUMBER(J9),SUMIFS(Setup!$D$16:$D$33,Setup!$A$16:$A$33,$B9,Setup!$B$16:$B$33,"Pipeline created"),0)</f>
        <v/>
      </c>
      <c r="Q9" s="12">
        <f>IF(ISNUMBER(K9),SUMIFS(Setup!$D$16:$D$33,Setup!$A$16:$A$33,$B9,Setup!$B$16:$B$33,"Stage conversion"),0)</f>
        <v/>
      </c>
      <c r="R9" s="12">
        <f>IF(ISNUMBER(L9),SUMIFS(Setup!$D$16:$D$33,Setup!$A$16:$A$33,$B9,Setup!$B$16:$B$33,"Win rate"),0)</f>
        <v/>
      </c>
      <c r="S9" s="12">
        <f>IF(ISNUMBER(M9),SUMIFS(Setup!$D$16:$D$33,Setup!$A$16:$A$33,$B9,Setup!$B$16:$B$33,"Forecast accuracy"),0)</f>
        <v/>
      </c>
      <c r="T9" s="12">
        <f>IF(ISNUMBER(N9),SUMIFS(Setup!$D$16:$D$33,Setup!$A$16:$A$33,$B9,Setup!$B$16:$B$33,"Stale pipeline"),0)</f>
        <v/>
      </c>
      <c r="U9" s="16">
        <f>IF(ISNUMBER(I9),O9*I9,0)</f>
        <v/>
      </c>
      <c r="V9" s="16">
        <f>IF(ISNUMBER(J9),P9*J9,0)</f>
        <v/>
      </c>
      <c r="W9" s="16">
        <f>IF(ISNUMBER(K9),Q9*K9,0)</f>
        <v/>
      </c>
      <c r="X9" s="16">
        <f>IF(ISNUMBER(L9),R9*L9,0)</f>
        <v/>
      </c>
      <c r="Y9" s="16">
        <f>IF(ISNUMBER(M9),S9*M9,0)</f>
        <v/>
      </c>
      <c r="Z9" s="16">
        <f>IF(ISNUMBER(N9),T9*N9,0)</f>
        <v/>
      </c>
      <c r="AA9" s="12">
        <f>SUM(O9:T9)</f>
        <v/>
      </c>
      <c r="AB9" s="16">
        <f>IF(OR(A9="",AA9&lt;=0),"",SUM(U9:Z9)/AA9)</f>
        <v/>
      </c>
      <c r="AC9" s="16">
        <f>IF(AND(ISNUMBER(I9),$AA9&gt;0),O9*MAX(0,100-I9)/$AA9,0)</f>
        <v/>
      </c>
      <c r="AD9" s="16">
        <f>IF(AND(ISNUMBER(J9),$AA9&gt;0),P9*MAX(0,100-J9)/$AA9,0)</f>
        <v/>
      </c>
      <c r="AE9" s="16">
        <f>IF(AND(ISNUMBER(K9),$AA9&gt;0),Q9*MAX(0,100-K9)/$AA9,0)</f>
        <v/>
      </c>
      <c r="AF9" s="16">
        <f>IF(AND(ISNUMBER(L9),$AA9&gt;0),R9*MAX(0,100-L9)/$AA9,0)</f>
        <v/>
      </c>
      <c r="AG9" s="16">
        <f>IF(AND(ISNUMBER(M9),$AA9&gt;0),S9*MAX(0,100-M9)/$AA9,0)</f>
        <v/>
      </c>
      <c r="AH9" s="16">
        <f>IF(AND(ISNUMBER(N9),$AA9&gt;0),T9*MAX(0,100-N9)/$AA9,0)</f>
        <v/>
      </c>
      <c r="AI9" s="13">
        <f>IF(AB9="","",IF(MAX(AC9:AH9)&lt;=0,"All at or above target",INDEX($AC$3:$AH$3,MATCH(MAX(AC9:AH9),AC9:AH9,0))))</f>
        <v/>
      </c>
      <c r="AJ9" s="13">
        <f>IF(AB9="","",IF(AB9&gt;=Setup!$B$10,Setup!$A$10,IF(AB9&gt;=Setup!$B$11,Setup!$A$11,IF(AB9&gt;=Setup!$B$12,Setup!$A$12,Setup!$A$13))))</f>
        <v/>
      </c>
      <c r="AK9" s="12">
        <f>IF(AB9="","",COUNTIF(AB$5:AB$34,"&gt;"&amp;AB9)+1)</f>
        <v/>
      </c>
      <c r="AL9" s="12">
        <f>IF(C9="","",COUNTIF(C$5:C$34,"&gt;"&amp;C9)+1)</f>
        <v/>
      </c>
      <c r="AM9" s="13">
        <f>IF(G9="","",IF(Actuals!B9&gt;Actuals!H9,"Under-called",IF(Actuals!B9&lt;Actuals!H9,"Over-called","Exact")))</f>
        <v/>
      </c>
    </row>
    <row r="10">
      <c r="A10" s="13">
        <f>IF(Reps!A10="","",Reps!A10)</f>
        <v/>
      </c>
      <c r="B10" s="13">
        <f>IF(A10="","",Reps!C10)</f>
        <v/>
      </c>
      <c r="C10" s="15">
        <f>IF(OR(A10="",N(Reps!E10)&lt;=0,Actuals!B10=""),"",Actuals!B10/Reps!E10)</f>
        <v/>
      </c>
      <c r="D10" s="15">
        <f>IF(OR(A10="",N(Reps!F10)&lt;=0,Actuals!C10=""),"",Actuals!C10/Reps!F10)</f>
        <v/>
      </c>
      <c r="E10" s="15">
        <f>IF(OR(A10="",N(Actuals!D10)&lt;=0,Actuals!E10=""),"",Actuals!E10/Actuals!D10)</f>
        <v/>
      </c>
      <c r="F10" s="15">
        <f>IF(OR(A10="",N(Actuals!F10)+N(Actuals!G10)&lt;=0),"",N(Actuals!F10)/(N(Actuals!F10)+N(Actuals!G10)))</f>
        <v/>
      </c>
      <c r="G10" s="15">
        <f>IF(OR(A10="",Actuals!H10=""),"",IF(N(Actuals!B10)&lt;=0,IF(N(Actuals!H10)&gt;0,0,""),MAX(0,1-ABS(Actuals!B10-Actuals!H10)/Actuals!B10)))</f>
        <v/>
      </c>
      <c r="H10" s="15">
        <f>IF(OR(A10="",N(Actuals!I10)&lt;=0,Actuals!J10=""),"",Actuals!J10/Actuals!I10)</f>
        <v/>
      </c>
      <c r="I10" s="16">
        <f>IF(OR($A10="",C10=""),"",IF(SUMIFS(Setup!$F$16:$F$33,Setup!$A$16:$A$33,$B10,Setup!$B$16:$B$33,"Quota attainment")=SUMIFS(Setup!$E$16:$E$33,Setup!$A$16:$A$33,$B10,Setup!$B$16:$B$33,"Quota attainment"),"",MAX(0,MIN(SUMIFS(Setup!$G$16:$G$33,Setup!$A$16:$A$33,$B10,Setup!$B$16:$B$33,"Quota attainment"),(C10-SUMIFS(Setup!$E$16:$E$33,Setup!$A$16:$A$33,$B10,Setup!$B$16:$B$33,"Quota attainment"))/(SUMIFS(Setup!$F$16:$F$33,Setup!$A$16:$A$33,$B10,Setup!$B$16:$B$33,"Quota attainment")-SUMIFS(Setup!$E$16:$E$33,Setup!$A$16:$A$33,$B10,Setup!$B$16:$B$33,"Quota attainment"))*100))))</f>
        <v/>
      </c>
      <c r="J10" s="16">
        <f>IF(OR($A10="",D10=""),"",IF(SUMIFS(Setup!$F$16:$F$33,Setup!$A$16:$A$33,$B10,Setup!$B$16:$B$33,"Pipeline created")=SUMIFS(Setup!$E$16:$E$33,Setup!$A$16:$A$33,$B10,Setup!$B$16:$B$33,"Pipeline created"),"",MAX(0,MIN(SUMIFS(Setup!$G$16:$G$33,Setup!$A$16:$A$33,$B10,Setup!$B$16:$B$33,"Pipeline created"),(D10-SUMIFS(Setup!$E$16:$E$33,Setup!$A$16:$A$33,$B10,Setup!$B$16:$B$33,"Pipeline created"))/(SUMIFS(Setup!$F$16:$F$33,Setup!$A$16:$A$33,$B10,Setup!$B$16:$B$33,"Pipeline created")-SUMIFS(Setup!$E$16:$E$33,Setup!$A$16:$A$33,$B10,Setup!$B$16:$B$33,"Pipeline created"))*100))))</f>
        <v/>
      </c>
      <c r="K10" s="16">
        <f>IF(OR($A10="",E10=""),"",IF(SUMIFS(Setup!$F$16:$F$33,Setup!$A$16:$A$33,$B10,Setup!$B$16:$B$33,"Stage conversion")=SUMIFS(Setup!$E$16:$E$33,Setup!$A$16:$A$33,$B10,Setup!$B$16:$B$33,"Stage conversion"),"",MAX(0,MIN(SUMIFS(Setup!$G$16:$G$33,Setup!$A$16:$A$33,$B10,Setup!$B$16:$B$33,"Stage conversion"),(E10-SUMIFS(Setup!$E$16:$E$33,Setup!$A$16:$A$33,$B10,Setup!$B$16:$B$33,"Stage conversion"))/(SUMIFS(Setup!$F$16:$F$33,Setup!$A$16:$A$33,$B10,Setup!$B$16:$B$33,"Stage conversion")-SUMIFS(Setup!$E$16:$E$33,Setup!$A$16:$A$33,$B10,Setup!$B$16:$B$33,"Stage conversion"))*100))))</f>
        <v/>
      </c>
      <c r="L10" s="16">
        <f>IF(OR($A10="",F10=""),"",IF(SUMIFS(Setup!$F$16:$F$33,Setup!$A$16:$A$33,$B10,Setup!$B$16:$B$33,"Win rate")=SUMIFS(Setup!$E$16:$E$33,Setup!$A$16:$A$33,$B10,Setup!$B$16:$B$33,"Win rate"),"",MAX(0,MIN(SUMIFS(Setup!$G$16:$G$33,Setup!$A$16:$A$33,$B10,Setup!$B$16:$B$33,"Win rate"),(F10-SUMIFS(Setup!$E$16:$E$33,Setup!$A$16:$A$33,$B10,Setup!$B$16:$B$33,"Win rate"))/(SUMIFS(Setup!$F$16:$F$33,Setup!$A$16:$A$33,$B10,Setup!$B$16:$B$33,"Win rate")-SUMIFS(Setup!$E$16:$E$33,Setup!$A$16:$A$33,$B10,Setup!$B$16:$B$33,"Win rate"))*100))))</f>
        <v/>
      </c>
      <c r="M10" s="16">
        <f>IF(OR($A10="",G10=""),"",IF(SUMIFS(Setup!$F$16:$F$33,Setup!$A$16:$A$33,$B10,Setup!$B$16:$B$33,"Forecast accuracy")=SUMIFS(Setup!$E$16:$E$33,Setup!$A$16:$A$33,$B10,Setup!$B$16:$B$33,"Forecast accuracy"),"",MAX(0,MIN(SUMIFS(Setup!$G$16:$G$33,Setup!$A$16:$A$33,$B10,Setup!$B$16:$B$33,"Forecast accuracy"),(G10-SUMIFS(Setup!$E$16:$E$33,Setup!$A$16:$A$33,$B10,Setup!$B$16:$B$33,"Forecast accuracy"))/(SUMIFS(Setup!$F$16:$F$33,Setup!$A$16:$A$33,$B10,Setup!$B$16:$B$33,"Forecast accuracy")-SUMIFS(Setup!$E$16:$E$33,Setup!$A$16:$A$33,$B10,Setup!$B$16:$B$33,"Forecast accuracy"))*100))))</f>
        <v/>
      </c>
      <c r="N10" s="16">
        <f>IF(OR($A10="",H10=""),"",IF(SUMIFS(Setup!$F$16:$F$33,Setup!$A$16:$A$33,$B10,Setup!$B$16:$B$33,"Stale pipeline")=SUMIFS(Setup!$E$16:$E$33,Setup!$A$16:$A$33,$B10,Setup!$B$16:$B$33,"Stale pipeline"),"",MAX(0,MIN(SUMIFS(Setup!$G$16:$G$33,Setup!$A$16:$A$33,$B10,Setup!$B$16:$B$33,"Stale pipeline"),(H10-SUMIFS(Setup!$E$16:$E$33,Setup!$A$16:$A$33,$B10,Setup!$B$16:$B$33,"Stale pipeline"))/(SUMIFS(Setup!$F$16:$F$33,Setup!$A$16:$A$33,$B10,Setup!$B$16:$B$33,"Stale pipeline")-SUMIFS(Setup!$E$16:$E$33,Setup!$A$16:$A$33,$B10,Setup!$B$16:$B$33,"Stale pipeline"))*100))))</f>
        <v/>
      </c>
      <c r="O10" s="12">
        <f>IF(ISNUMBER(I10),SUMIFS(Setup!$D$16:$D$33,Setup!$A$16:$A$33,$B10,Setup!$B$16:$B$33,"Quota attainment"),0)</f>
        <v/>
      </c>
      <c r="P10" s="12">
        <f>IF(ISNUMBER(J10),SUMIFS(Setup!$D$16:$D$33,Setup!$A$16:$A$33,$B10,Setup!$B$16:$B$33,"Pipeline created"),0)</f>
        <v/>
      </c>
      <c r="Q10" s="12">
        <f>IF(ISNUMBER(K10),SUMIFS(Setup!$D$16:$D$33,Setup!$A$16:$A$33,$B10,Setup!$B$16:$B$33,"Stage conversion"),0)</f>
        <v/>
      </c>
      <c r="R10" s="12">
        <f>IF(ISNUMBER(L10),SUMIFS(Setup!$D$16:$D$33,Setup!$A$16:$A$33,$B10,Setup!$B$16:$B$33,"Win rate"),0)</f>
        <v/>
      </c>
      <c r="S10" s="12">
        <f>IF(ISNUMBER(M10),SUMIFS(Setup!$D$16:$D$33,Setup!$A$16:$A$33,$B10,Setup!$B$16:$B$33,"Forecast accuracy"),0)</f>
        <v/>
      </c>
      <c r="T10" s="12">
        <f>IF(ISNUMBER(N10),SUMIFS(Setup!$D$16:$D$33,Setup!$A$16:$A$33,$B10,Setup!$B$16:$B$33,"Stale pipeline"),0)</f>
        <v/>
      </c>
      <c r="U10" s="16">
        <f>IF(ISNUMBER(I10),O10*I10,0)</f>
        <v/>
      </c>
      <c r="V10" s="16">
        <f>IF(ISNUMBER(J10),P10*J10,0)</f>
        <v/>
      </c>
      <c r="W10" s="16">
        <f>IF(ISNUMBER(K10),Q10*K10,0)</f>
        <v/>
      </c>
      <c r="X10" s="16">
        <f>IF(ISNUMBER(L10),R10*L10,0)</f>
        <v/>
      </c>
      <c r="Y10" s="16">
        <f>IF(ISNUMBER(M10),S10*M10,0)</f>
        <v/>
      </c>
      <c r="Z10" s="16">
        <f>IF(ISNUMBER(N10),T10*N10,0)</f>
        <v/>
      </c>
      <c r="AA10" s="12">
        <f>SUM(O10:T10)</f>
        <v/>
      </c>
      <c r="AB10" s="16">
        <f>IF(OR(A10="",AA10&lt;=0),"",SUM(U10:Z10)/AA10)</f>
        <v/>
      </c>
      <c r="AC10" s="16">
        <f>IF(AND(ISNUMBER(I10),$AA10&gt;0),O10*MAX(0,100-I10)/$AA10,0)</f>
        <v/>
      </c>
      <c r="AD10" s="16">
        <f>IF(AND(ISNUMBER(J10),$AA10&gt;0),P10*MAX(0,100-J10)/$AA10,0)</f>
        <v/>
      </c>
      <c r="AE10" s="16">
        <f>IF(AND(ISNUMBER(K10),$AA10&gt;0),Q10*MAX(0,100-K10)/$AA10,0)</f>
        <v/>
      </c>
      <c r="AF10" s="16">
        <f>IF(AND(ISNUMBER(L10),$AA10&gt;0),R10*MAX(0,100-L10)/$AA10,0)</f>
        <v/>
      </c>
      <c r="AG10" s="16">
        <f>IF(AND(ISNUMBER(M10),$AA10&gt;0),S10*MAX(0,100-M10)/$AA10,0)</f>
        <v/>
      </c>
      <c r="AH10" s="16">
        <f>IF(AND(ISNUMBER(N10),$AA10&gt;0),T10*MAX(0,100-N10)/$AA10,0)</f>
        <v/>
      </c>
      <c r="AI10" s="13">
        <f>IF(AB10="","",IF(MAX(AC10:AH10)&lt;=0,"All at or above target",INDEX($AC$3:$AH$3,MATCH(MAX(AC10:AH10),AC10:AH10,0))))</f>
        <v/>
      </c>
      <c r="AJ10" s="13">
        <f>IF(AB10="","",IF(AB10&gt;=Setup!$B$10,Setup!$A$10,IF(AB10&gt;=Setup!$B$11,Setup!$A$11,IF(AB10&gt;=Setup!$B$12,Setup!$A$12,Setup!$A$13))))</f>
        <v/>
      </c>
      <c r="AK10" s="12">
        <f>IF(AB10="","",COUNTIF(AB$5:AB$34,"&gt;"&amp;AB10)+1)</f>
        <v/>
      </c>
      <c r="AL10" s="12">
        <f>IF(C10="","",COUNTIF(C$5:C$34,"&gt;"&amp;C10)+1)</f>
        <v/>
      </c>
      <c r="AM10" s="13">
        <f>IF(G10="","",IF(Actuals!B10&gt;Actuals!H10,"Under-called",IF(Actuals!B10&lt;Actuals!H10,"Over-called","Exact")))</f>
        <v/>
      </c>
    </row>
    <row r="11">
      <c r="A11" s="13">
        <f>IF(Reps!A11="","",Reps!A11)</f>
        <v/>
      </c>
      <c r="B11" s="13">
        <f>IF(A11="","",Reps!C11)</f>
        <v/>
      </c>
      <c r="C11" s="15">
        <f>IF(OR(A11="",N(Reps!E11)&lt;=0,Actuals!B11=""),"",Actuals!B11/Reps!E11)</f>
        <v/>
      </c>
      <c r="D11" s="15">
        <f>IF(OR(A11="",N(Reps!F11)&lt;=0,Actuals!C11=""),"",Actuals!C11/Reps!F11)</f>
        <v/>
      </c>
      <c r="E11" s="15">
        <f>IF(OR(A11="",N(Actuals!D11)&lt;=0,Actuals!E11=""),"",Actuals!E11/Actuals!D11)</f>
        <v/>
      </c>
      <c r="F11" s="15">
        <f>IF(OR(A11="",N(Actuals!F11)+N(Actuals!G11)&lt;=0),"",N(Actuals!F11)/(N(Actuals!F11)+N(Actuals!G11)))</f>
        <v/>
      </c>
      <c r="G11" s="15">
        <f>IF(OR(A11="",Actuals!H11=""),"",IF(N(Actuals!B11)&lt;=0,IF(N(Actuals!H11)&gt;0,0,""),MAX(0,1-ABS(Actuals!B11-Actuals!H11)/Actuals!B11)))</f>
        <v/>
      </c>
      <c r="H11" s="15">
        <f>IF(OR(A11="",N(Actuals!I11)&lt;=0,Actuals!J11=""),"",Actuals!J11/Actuals!I11)</f>
        <v/>
      </c>
      <c r="I11" s="16">
        <f>IF(OR($A11="",C11=""),"",IF(SUMIFS(Setup!$F$16:$F$33,Setup!$A$16:$A$33,$B11,Setup!$B$16:$B$33,"Quota attainment")=SUMIFS(Setup!$E$16:$E$33,Setup!$A$16:$A$33,$B11,Setup!$B$16:$B$33,"Quota attainment"),"",MAX(0,MIN(SUMIFS(Setup!$G$16:$G$33,Setup!$A$16:$A$33,$B11,Setup!$B$16:$B$33,"Quota attainment"),(C11-SUMIFS(Setup!$E$16:$E$33,Setup!$A$16:$A$33,$B11,Setup!$B$16:$B$33,"Quota attainment"))/(SUMIFS(Setup!$F$16:$F$33,Setup!$A$16:$A$33,$B11,Setup!$B$16:$B$33,"Quota attainment")-SUMIFS(Setup!$E$16:$E$33,Setup!$A$16:$A$33,$B11,Setup!$B$16:$B$33,"Quota attainment"))*100))))</f>
        <v/>
      </c>
      <c r="J11" s="16">
        <f>IF(OR($A11="",D11=""),"",IF(SUMIFS(Setup!$F$16:$F$33,Setup!$A$16:$A$33,$B11,Setup!$B$16:$B$33,"Pipeline created")=SUMIFS(Setup!$E$16:$E$33,Setup!$A$16:$A$33,$B11,Setup!$B$16:$B$33,"Pipeline created"),"",MAX(0,MIN(SUMIFS(Setup!$G$16:$G$33,Setup!$A$16:$A$33,$B11,Setup!$B$16:$B$33,"Pipeline created"),(D11-SUMIFS(Setup!$E$16:$E$33,Setup!$A$16:$A$33,$B11,Setup!$B$16:$B$33,"Pipeline created"))/(SUMIFS(Setup!$F$16:$F$33,Setup!$A$16:$A$33,$B11,Setup!$B$16:$B$33,"Pipeline created")-SUMIFS(Setup!$E$16:$E$33,Setup!$A$16:$A$33,$B11,Setup!$B$16:$B$33,"Pipeline created"))*100))))</f>
        <v/>
      </c>
      <c r="K11" s="16">
        <f>IF(OR($A11="",E11=""),"",IF(SUMIFS(Setup!$F$16:$F$33,Setup!$A$16:$A$33,$B11,Setup!$B$16:$B$33,"Stage conversion")=SUMIFS(Setup!$E$16:$E$33,Setup!$A$16:$A$33,$B11,Setup!$B$16:$B$33,"Stage conversion"),"",MAX(0,MIN(SUMIFS(Setup!$G$16:$G$33,Setup!$A$16:$A$33,$B11,Setup!$B$16:$B$33,"Stage conversion"),(E11-SUMIFS(Setup!$E$16:$E$33,Setup!$A$16:$A$33,$B11,Setup!$B$16:$B$33,"Stage conversion"))/(SUMIFS(Setup!$F$16:$F$33,Setup!$A$16:$A$33,$B11,Setup!$B$16:$B$33,"Stage conversion")-SUMIFS(Setup!$E$16:$E$33,Setup!$A$16:$A$33,$B11,Setup!$B$16:$B$33,"Stage conversion"))*100))))</f>
        <v/>
      </c>
      <c r="L11" s="16">
        <f>IF(OR($A11="",F11=""),"",IF(SUMIFS(Setup!$F$16:$F$33,Setup!$A$16:$A$33,$B11,Setup!$B$16:$B$33,"Win rate")=SUMIFS(Setup!$E$16:$E$33,Setup!$A$16:$A$33,$B11,Setup!$B$16:$B$33,"Win rate"),"",MAX(0,MIN(SUMIFS(Setup!$G$16:$G$33,Setup!$A$16:$A$33,$B11,Setup!$B$16:$B$33,"Win rate"),(F11-SUMIFS(Setup!$E$16:$E$33,Setup!$A$16:$A$33,$B11,Setup!$B$16:$B$33,"Win rate"))/(SUMIFS(Setup!$F$16:$F$33,Setup!$A$16:$A$33,$B11,Setup!$B$16:$B$33,"Win rate")-SUMIFS(Setup!$E$16:$E$33,Setup!$A$16:$A$33,$B11,Setup!$B$16:$B$33,"Win rate"))*100))))</f>
        <v/>
      </c>
      <c r="M11" s="16">
        <f>IF(OR($A11="",G11=""),"",IF(SUMIFS(Setup!$F$16:$F$33,Setup!$A$16:$A$33,$B11,Setup!$B$16:$B$33,"Forecast accuracy")=SUMIFS(Setup!$E$16:$E$33,Setup!$A$16:$A$33,$B11,Setup!$B$16:$B$33,"Forecast accuracy"),"",MAX(0,MIN(SUMIFS(Setup!$G$16:$G$33,Setup!$A$16:$A$33,$B11,Setup!$B$16:$B$33,"Forecast accuracy"),(G11-SUMIFS(Setup!$E$16:$E$33,Setup!$A$16:$A$33,$B11,Setup!$B$16:$B$33,"Forecast accuracy"))/(SUMIFS(Setup!$F$16:$F$33,Setup!$A$16:$A$33,$B11,Setup!$B$16:$B$33,"Forecast accuracy")-SUMIFS(Setup!$E$16:$E$33,Setup!$A$16:$A$33,$B11,Setup!$B$16:$B$33,"Forecast accuracy"))*100))))</f>
        <v/>
      </c>
      <c r="N11" s="16">
        <f>IF(OR($A11="",H11=""),"",IF(SUMIFS(Setup!$F$16:$F$33,Setup!$A$16:$A$33,$B11,Setup!$B$16:$B$33,"Stale pipeline")=SUMIFS(Setup!$E$16:$E$33,Setup!$A$16:$A$33,$B11,Setup!$B$16:$B$33,"Stale pipeline"),"",MAX(0,MIN(SUMIFS(Setup!$G$16:$G$33,Setup!$A$16:$A$33,$B11,Setup!$B$16:$B$33,"Stale pipeline"),(H11-SUMIFS(Setup!$E$16:$E$33,Setup!$A$16:$A$33,$B11,Setup!$B$16:$B$33,"Stale pipeline"))/(SUMIFS(Setup!$F$16:$F$33,Setup!$A$16:$A$33,$B11,Setup!$B$16:$B$33,"Stale pipeline")-SUMIFS(Setup!$E$16:$E$33,Setup!$A$16:$A$33,$B11,Setup!$B$16:$B$33,"Stale pipeline"))*100))))</f>
        <v/>
      </c>
      <c r="O11" s="12">
        <f>IF(ISNUMBER(I11),SUMIFS(Setup!$D$16:$D$33,Setup!$A$16:$A$33,$B11,Setup!$B$16:$B$33,"Quota attainment"),0)</f>
        <v/>
      </c>
      <c r="P11" s="12">
        <f>IF(ISNUMBER(J11),SUMIFS(Setup!$D$16:$D$33,Setup!$A$16:$A$33,$B11,Setup!$B$16:$B$33,"Pipeline created"),0)</f>
        <v/>
      </c>
      <c r="Q11" s="12">
        <f>IF(ISNUMBER(K11),SUMIFS(Setup!$D$16:$D$33,Setup!$A$16:$A$33,$B11,Setup!$B$16:$B$33,"Stage conversion"),0)</f>
        <v/>
      </c>
      <c r="R11" s="12">
        <f>IF(ISNUMBER(L11),SUMIFS(Setup!$D$16:$D$33,Setup!$A$16:$A$33,$B11,Setup!$B$16:$B$33,"Win rate"),0)</f>
        <v/>
      </c>
      <c r="S11" s="12">
        <f>IF(ISNUMBER(M11),SUMIFS(Setup!$D$16:$D$33,Setup!$A$16:$A$33,$B11,Setup!$B$16:$B$33,"Forecast accuracy"),0)</f>
        <v/>
      </c>
      <c r="T11" s="12">
        <f>IF(ISNUMBER(N11),SUMIFS(Setup!$D$16:$D$33,Setup!$A$16:$A$33,$B11,Setup!$B$16:$B$33,"Stale pipeline"),0)</f>
        <v/>
      </c>
      <c r="U11" s="16">
        <f>IF(ISNUMBER(I11),O11*I11,0)</f>
        <v/>
      </c>
      <c r="V11" s="16">
        <f>IF(ISNUMBER(J11),P11*J11,0)</f>
        <v/>
      </c>
      <c r="W11" s="16">
        <f>IF(ISNUMBER(K11),Q11*K11,0)</f>
        <v/>
      </c>
      <c r="X11" s="16">
        <f>IF(ISNUMBER(L11),R11*L11,0)</f>
        <v/>
      </c>
      <c r="Y11" s="16">
        <f>IF(ISNUMBER(M11),S11*M11,0)</f>
        <v/>
      </c>
      <c r="Z11" s="16">
        <f>IF(ISNUMBER(N11),T11*N11,0)</f>
        <v/>
      </c>
      <c r="AA11" s="12">
        <f>SUM(O11:T11)</f>
        <v/>
      </c>
      <c r="AB11" s="16">
        <f>IF(OR(A11="",AA11&lt;=0),"",SUM(U11:Z11)/AA11)</f>
        <v/>
      </c>
      <c r="AC11" s="16">
        <f>IF(AND(ISNUMBER(I11),$AA11&gt;0),O11*MAX(0,100-I11)/$AA11,0)</f>
        <v/>
      </c>
      <c r="AD11" s="16">
        <f>IF(AND(ISNUMBER(J11),$AA11&gt;0),P11*MAX(0,100-J11)/$AA11,0)</f>
        <v/>
      </c>
      <c r="AE11" s="16">
        <f>IF(AND(ISNUMBER(K11),$AA11&gt;0),Q11*MAX(0,100-K11)/$AA11,0)</f>
        <v/>
      </c>
      <c r="AF11" s="16">
        <f>IF(AND(ISNUMBER(L11),$AA11&gt;0),R11*MAX(0,100-L11)/$AA11,0)</f>
        <v/>
      </c>
      <c r="AG11" s="16">
        <f>IF(AND(ISNUMBER(M11),$AA11&gt;0),S11*MAX(0,100-M11)/$AA11,0)</f>
        <v/>
      </c>
      <c r="AH11" s="16">
        <f>IF(AND(ISNUMBER(N11),$AA11&gt;0),T11*MAX(0,100-N11)/$AA11,0)</f>
        <v/>
      </c>
      <c r="AI11" s="13">
        <f>IF(AB11="","",IF(MAX(AC11:AH11)&lt;=0,"All at or above target",INDEX($AC$3:$AH$3,MATCH(MAX(AC11:AH11),AC11:AH11,0))))</f>
        <v/>
      </c>
      <c r="AJ11" s="13">
        <f>IF(AB11="","",IF(AB11&gt;=Setup!$B$10,Setup!$A$10,IF(AB11&gt;=Setup!$B$11,Setup!$A$11,IF(AB11&gt;=Setup!$B$12,Setup!$A$12,Setup!$A$13))))</f>
        <v/>
      </c>
      <c r="AK11" s="12">
        <f>IF(AB11="","",COUNTIF(AB$5:AB$34,"&gt;"&amp;AB11)+1)</f>
        <v/>
      </c>
      <c r="AL11" s="12">
        <f>IF(C11="","",COUNTIF(C$5:C$34,"&gt;"&amp;C11)+1)</f>
        <v/>
      </c>
      <c r="AM11" s="13">
        <f>IF(G11="","",IF(Actuals!B11&gt;Actuals!H11,"Under-called",IF(Actuals!B11&lt;Actuals!H11,"Over-called","Exact")))</f>
        <v/>
      </c>
    </row>
    <row r="12">
      <c r="A12" s="13">
        <f>IF(Reps!A12="","",Reps!A12)</f>
        <v/>
      </c>
      <c r="B12" s="13">
        <f>IF(A12="","",Reps!C12)</f>
        <v/>
      </c>
      <c r="C12" s="15">
        <f>IF(OR(A12="",N(Reps!E12)&lt;=0,Actuals!B12=""),"",Actuals!B12/Reps!E12)</f>
        <v/>
      </c>
      <c r="D12" s="15">
        <f>IF(OR(A12="",N(Reps!F12)&lt;=0,Actuals!C12=""),"",Actuals!C12/Reps!F12)</f>
        <v/>
      </c>
      <c r="E12" s="15">
        <f>IF(OR(A12="",N(Actuals!D12)&lt;=0,Actuals!E12=""),"",Actuals!E12/Actuals!D12)</f>
        <v/>
      </c>
      <c r="F12" s="15">
        <f>IF(OR(A12="",N(Actuals!F12)+N(Actuals!G12)&lt;=0),"",N(Actuals!F12)/(N(Actuals!F12)+N(Actuals!G12)))</f>
        <v/>
      </c>
      <c r="G12" s="15">
        <f>IF(OR(A12="",Actuals!H12=""),"",IF(N(Actuals!B12)&lt;=0,IF(N(Actuals!H12)&gt;0,0,""),MAX(0,1-ABS(Actuals!B12-Actuals!H12)/Actuals!B12)))</f>
        <v/>
      </c>
      <c r="H12" s="15">
        <f>IF(OR(A12="",N(Actuals!I12)&lt;=0,Actuals!J12=""),"",Actuals!J12/Actuals!I12)</f>
        <v/>
      </c>
      <c r="I12" s="16">
        <f>IF(OR($A12="",C12=""),"",IF(SUMIFS(Setup!$F$16:$F$33,Setup!$A$16:$A$33,$B12,Setup!$B$16:$B$33,"Quota attainment")=SUMIFS(Setup!$E$16:$E$33,Setup!$A$16:$A$33,$B12,Setup!$B$16:$B$33,"Quota attainment"),"",MAX(0,MIN(SUMIFS(Setup!$G$16:$G$33,Setup!$A$16:$A$33,$B12,Setup!$B$16:$B$33,"Quota attainment"),(C12-SUMIFS(Setup!$E$16:$E$33,Setup!$A$16:$A$33,$B12,Setup!$B$16:$B$33,"Quota attainment"))/(SUMIFS(Setup!$F$16:$F$33,Setup!$A$16:$A$33,$B12,Setup!$B$16:$B$33,"Quota attainment")-SUMIFS(Setup!$E$16:$E$33,Setup!$A$16:$A$33,$B12,Setup!$B$16:$B$33,"Quota attainment"))*100))))</f>
        <v/>
      </c>
      <c r="J12" s="16">
        <f>IF(OR($A12="",D12=""),"",IF(SUMIFS(Setup!$F$16:$F$33,Setup!$A$16:$A$33,$B12,Setup!$B$16:$B$33,"Pipeline created")=SUMIFS(Setup!$E$16:$E$33,Setup!$A$16:$A$33,$B12,Setup!$B$16:$B$33,"Pipeline created"),"",MAX(0,MIN(SUMIFS(Setup!$G$16:$G$33,Setup!$A$16:$A$33,$B12,Setup!$B$16:$B$33,"Pipeline created"),(D12-SUMIFS(Setup!$E$16:$E$33,Setup!$A$16:$A$33,$B12,Setup!$B$16:$B$33,"Pipeline created"))/(SUMIFS(Setup!$F$16:$F$33,Setup!$A$16:$A$33,$B12,Setup!$B$16:$B$33,"Pipeline created")-SUMIFS(Setup!$E$16:$E$33,Setup!$A$16:$A$33,$B12,Setup!$B$16:$B$33,"Pipeline created"))*100))))</f>
        <v/>
      </c>
      <c r="K12" s="16">
        <f>IF(OR($A12="",E12=""),"",IF(SUMIFS(Setup!$F$16:$F$33,Setup!$A$16:$A$33,$B12,Setup!$B$16:$B$33,"Stage conversion")=SUMIFS(Setup!$E$16:$E$33,Setup!$A$16:$A$33,$B12,Setup!$B$16:$B$33,"Stage conversion"),"",MAX(0,MIN(SUMIFS(Setup!$G$16:$G$33,Setup!$A$16:$A$33,$B12,Setup!$B$16:$B$33,"Stage conversion"),(E12-SUMIFS(Setup!$E$16:$E$33,Setup!$A$16:$A$33,$B12,Setup!$B$16:$B$33,"Stage conversion"))/(SUMIFS(Setup!$F$16:$F$33,Setup!$A$16:$A$33,$B12,Setup!$B$16:$B$33,"Stage conversion")-SUMIFS(Setup!$E$16:$E$33,Setup!$A$16:$A$33,$B12,Setup!$B$16:$B$33,"Stage conversion"))*100))))</f>
        <v/>
      </c>
      <c r="L12" s="16">
        <f>IF(OR($A12="",F12=""),"",IF(SUMIFS(Setup!$F$16:$F$33,Setup!$A$16:$A$33,$B12,Setup!$B$16:$B$33,"Win rate")=SUMIFS(Setup!$E$16:$E$33,Setup!$A$16:$A$33,$B12,Setup!$B$16:$B$33,"Win rate"),"",MAX(0,MIN(SUMIFS(Setup!$G$16:$G$33,Setup!$A$16:$A$33,$B12,Setup!$B$16:$B$33,"Win rate"),(F12-SUMIFS(Setup!$E$16:$E$33,Setup!$A$16:$A$33,$B12,Setup!$B$16:$B$33,"Win rate"))/(SUMIFS(Setup!$F$16:$F$33,Setup!$A$16:$A$33,$B12,Setup!$B$16:$B$33,"Win rate")-SUMIFS(Setup!$E$16:$E$33,Setup!$A$16:$A$33,$B12,Setup!$B$16:$B$33,"Win rate"))*100))))</f>
        <v/>
      </c>
      <c r="M12" s="16">
        <f>IF(OR($A12="",G12=""),"",IF(SUMIFS(Setup!$F$16:$F$33,Setup!$A$16:$A$33,$B12,Setup!$B$16:$B$33,"Forecast accuracy")=SUMIFS(Setup!$E$16:$E$33,Setup!$A$16:$A$33,$B12,Setup!$B$16:$B$33,"Forecast accuracy"),"",MAX(0,MIN(SUMIFS(Setup!$G$16:$G$33,Setup!$A$16:$A$33,$B12,Setup!$B$16:$B$33,"Forecast accuracy"),(G12-SUMIFS(Setup!$E$16:$E$33,Setup!$A$16:$A$33,$B12,Setup!$B$16:$B$33,"Forecast accuracy"))/(SUMIFS(Setup!$F$16:$F$33,Setup!$A$16:$A$33,$B12,Setup!$B$16:$B$33,"Forecast accuracy")-SUMIFS(Setup!$E$16:$E$33,Setup!$A$16:$A$33,$B12,Setup!$B$16:$B$33,"Forecast accuracy"))*100))))</f>
        <v/>
      </c>
      <c r="N12" s="16">
        <f>IF(OR($A12="",H12=""),"",IF(SUMIFS(Setup!$F$16:$F$33,Setup!$A$16:$A$33,$B12,Setup!$B$16:$B$33,"Stale pipeline")=SUMIFS(Setup!$E$16:$E$33,Setup!$A$16:$A$33,$B12,Setup!$B$16:$B$33,"Stale pipeline"),"",MAX(0,MIN(SUMIFS(Setup!$G$16:$G$33,Setup!$A$16:$A$33,$B12,Setup!$B$16:$B$33,"Stale pipeline"),(H12-SUMIFS(Setup!$E$16:$E$33,Setup!$A$16:$A$33,$B12,Setup!$B$16:$B$33,"Stale pipeline"))/(SUMIFS(Setup!$F$16:$F$33,Setup!$A$16:$A$33,$B12,Setup!$B$16:$B$33,"Stale pipeline")-SUMIFS(Setup!$E$16:$E$33,Setup!$A$16:$A$33,$B12,Setup!$B$16:$B$33,"Stale pipeline"))*100))))</f>
        <v/>
      </c>
      <c r="O12" s="12">
        <f>IF(ISNUMBER(I12),SUMIFS(Setup!$D$16:$D$33,Setup!$A$16:$A$33,$B12,Setup!$B$16:$B$33,"Quota attainment"),0)</f>
        <v/>
      </c>
      <c r="P12" s="12">
        <f>IF(ISNUMBER(J12),SUMIFS(Setup!$D$16:$D$33,Setup!$A$16:$A$33,$B12,Setup!$B$16:$B$33,"Pipeline created"),0)</f>
        <v/>
      </c>
      <c r="Q12" s="12">
        <f>IF(ISNUMBER(K12),SUMIFS(Setup!$D$16:$D$33,Setup!$A$16:$A$33,$B12,Setup!$B$16:$B$33,"Stage conversion"),0)</f>
        <v/>
      </c>
      <c r="R12" s="12">
        <f>IF(ISNUMBER(L12),SUMIFS(Setup!$D$16:$D$33,Setup!$A$16:$A$33,$B12,Setup!$B$16:$B$33,"Win rate"),0)</f>
        <v/>
      </c>
      <c r="S12" s="12">
        <f>IF(ISNUMBER(M12),SUMIFS(Setup!$D$16:$D$33,Setup!$A$16:$A$33,$B12,Setup!$B$16:$B$33,"Forecast accuracy"),0)</f>
        <v/>
      </c>
      <c r="T12" s="12">
        <f>IF(ISNUMBER(N12),SUMIFS(Setup!$D$16:$D$33,Setup!$A$16:$A$33,$B12,Setup!$B$16:$B$33,"Stale pipeline"),0)</f>
        <v/>
      </c>
      <c r="U12" s="16">
        <f>IF(ISNUMBER(I12),O12*I12,0)</f>
        <v/>
      </c>
      <c r="V12" s="16">
        <f>IF(ISNUMBER(J12),P12*J12,0)</f>
        <v/>
      </c>
      <c r="W12" s="16">
        <f>IF(ISNUMBER(K12),Q12*K12,0)</f>
        <v/>
      </c>
      <c r="X12" s="16">
        <f>IF(ISNUMBER(L12),R12*L12,0)</f>
        <v/>
      </c>
      <c r="Y12" s="16">
        <f>IF(ISNUMBER(M12),S12*M12,0)</f>
        <v/>
      </c>
      <c r="Z12" s="16">
        <f>IF(ISNUMBER(N12),T12*N12,0)</f>
        <v/>
      </c>
      <c r="AA12" s="12">
        <f>SUM(O12:T12)</f>
        <v/>
      </c>
      <c r="AB12" s="16">
        <f>IF(OR(A12="",AA12&lt;=0),"",SUM(U12:Z12)/AA12)</f>
        <v/>
      </c>
      <c r="AC12" s="16">
        <f>IF(AND(ISNUMBER(I12),$AA12&gt;0),O12*MAX(0,100-I12)/$AA12,0)</f>
        <v/>
      </c>
      <c r="AD12" s="16">
        <f>IF(AND(ISNUMBER(J12),$AA12&gt;0),P12*MAX(0,100-J12)/$AA12,0)</f>
        <v/>
      </c>
      <c r="AE12" s="16">
        <f>IF(AND(ISNUMBER(K12),$AA12&gt;0),Q12*MAX(0,100-K12)/$AA12,0)</f>
        <v/>
      </c>
      <c r="AF12" s="16">
        <f>IF(AND(ISNUMBER(L12),$AA12&gt;0),R12*MAX(0,100-L12)/$AA12,0)</f>
        <v/>
      </c>
      <c r="AG12" s="16">
        <f>IF(AND(ISNUMBER(M12),$AA12&gt;0),S12*MAX(0,100-M12)/$AA12,0)</f>
        <v/>
      </c>
      <c r="AH12" s="16">
        <f>IF(AND(ISNUMBER(N12),$AA12&gt;0),T12*MAX(0,100-N12)/$AA12,0)</f>
        <v/>
      </c>
      <c r="AI12" s="13">
        <f>IF(AB12="","",IF(MAX(AC12:AH12)&lt;=0,"All at or above target",INDEX($AC$3:$AH$3,MATCH(MAX(AC12:AH12),AC12:AH12,0))))</f>
        <v/>
      </c>
      <c r="AJ12" s="13">
        <f>IF(AB12="","",IF(AB12&gt;=Setup!$B$10,Setup!$A$10,IF(AB12&gt;=Setup!$B$11,Setup!$A$11,IF(AB12&gt;=Setup!$B$12,Setup!$A$12,Setup!$A$13))))</f>
        <v/>
      </c>
      <c r="AK12" s="12">
        <f>IF(AB12="","",COUNTIF(AB$5:AB$34,"&gt;"&amp;AB12)+1)</f>
        <v/>
      </c>
      <c r="AL12" s="12">
        <f>IF(C12="","",COUNTIF(C$5:C$34,"&gt;"&amp;C12)+1)</f>
        <v/>
      </c>
      <c r="AM12" s="13">
        <f>IF(G12="","",IF(Actuals!B12&gt;Actuals!H12,"Under-called",IF(Actuals!B12&lt;Actuals!H12,"Over-called","Exact")))</f>
        <v/>
      </c>
    </row>
    <row r="13">
      <c r="A13" s="13">
        <f>IF(Reps!A13="","",Reps!A13)</f>
        <v/>
      </c>
      <c r="B13" s="13">
        <f>IF(A13="","",Reps!C13)</f>
        <v/>
      </c>
      <c r="C13" s="15">
        <f>IF(OR(A13="",N(Reps!E13)&lt;=0,Actuals!B13=""),"",Actuals!B13/Reps!E13)</f>
        <v/>
      </c>
      <c r="D13" s="15">
        <f>IF(OR(A13="",N(Reps!F13)&lt;=0,Actuals!C13=""),"",Actuals!C13/Reps!F13)</f>
        <v/>
      </c>
      <c r="E13" s="15">
        <f>IF(OR(A13="",N(Actuals!D13)&lt;=0,Actuals!E13=""),"",Actuals!E13/Actuals!D13)</f>
        <v/>
      </c>
      <c r="F13" s="15">
        <f>IF(OR(A13="",N(Actuals!F13)+N(Actuals!G13)&lt;=0),"",N(Actuals!F13)/(N(Actuals!F13)+N(Actuals!G13)))</f>
        <v/>
      </c>
      <c r="G13" s="15">
        <f>IF(OR(A13="",Actuals!H13=""),"",IF(N(Actuals!B13)&lt;=0,IF(N(Actuals!H13)&gt;0,0,""),MAX(0,1-ABS(Actuals!B13-Actuals!H13)/Actuals!B13)))</f>
        <v/>
      </c>
      <c r="H13" s="15">
        <f>IF(OR(A13="",N(Actuals!I13)&lt;=0,Actuals!J13=""),"",Actuals!J13/Actuals!I13)</f>
        <v/>
      </c>
      <c r="I13" s="16">
        <f>IF(OR($A13="",C13=""),"",IF(SUMIFS(Setup!$F$16:$F$33,Setup!$A$16:$A$33,$B13,Setup!$B$16:$B$33,"Quota attainment")=SUMIFS(Setup!$E$16:$E$33,Setup!$A$16:$A$33,$B13,Setup!$B$16:$B$33,"Quota attainment"),"",MAX(0,MIN(SUMIFS(Setup!$G$16:$G$33,Setup!$A$16:$A$33,$B13,Setup!$B$16:$B$33,"Quota attainment"),(C13-SUMIFS(Setup!$E$16:$E$33,Setup!$A$16:$A$33,$B13,Setup!$B$16:$B$33,"Quota attainment"))/(SUMIFS(Setup!$F$16:$F$33,Setup!$A$16:$A$33,$B13,Setup!$B$16:$B$33,"Quota attainment")-SUMIFS(Setup!$E$16:$E$33,Setup!$A$16:$A$33,$B13,Setup!$B$16:$B$33,"Quota attainment"))*100))))</f>
        <v/>
      </c>
      <c r="J13" s="16">
        <f>IF(OR($A13="",D13=""),"",IF(SUMIFS(Setup!$F$16:$F$33,Setup!$A$16:$A$33,$B13,Setup!$B$16:$B$33,"Pipeline created")=SUMIFS(Setup!$E$16:$E$33,Setup!$A$16:$A$33,$B13,Setup!$B$16:$B$33,"Pipeline created"),"",MAX(0,MIN(SUMIFS(Setup!$G$16:$G$33,Setup!$A$16:$A$33,$B13,Setup!$B$16:$B$33,"Pipeline created"),(D13-SUMIFS(Setup!$E$16:$E$33,Setup!$A$16:$A$33,$B13,Setup!$B$16:$B$33,"Pipeline created"))/(SUMIFS(Setup!$F$16:$F$33,Setup!$A$16:$A$33,$B13,Setup!$B$16:$B$33,"Pipeline created")-SUMIFS(Setup!$E$16:$E$33,Setup!$A$16:$A$33,$B13,Setup!$B$16:$B$33,"Pipeline created"))*100))))</f>
        <v/>
      </c>
      <c r="K13" s="16">
        <f>IF(OR($A13="",E13=""),"",IF(SUMIFS(Setup!$F$16:$F$33,Setup!$A$16:$A$33,$B13,Setup!$B$16:$B$33,"Stage conversion")=SUMIFS(Setup!$E$16:$E$33,Setup!$A$16:$A$33,$B13,Setup!$B$16:$B$33,"Stage conversion"),"",MAX(0,MIN(SUMIFS(Setup!$G$16:$G$33,Setup!$A$16:$A$33,$B13,Setup!$B$16:$B$33,"Stage conversion"),(E13-SUMIFS(Setup!$E$16:$E$33,Setup!$A$16:$A$33,$B13,Setup!$B$16:$B$33,"Stage conversion"))/(SUMIFS(Setup!$F$16:$F$33,Setup!$A$16:$A$33,$B13,Setup!$B$16:$B$33,"Stage conversion")-SUMIFS(Setup!$E$16:$E$33,Setup!$A$16:$A$33,$B13,Setup!$B$16:$B$33,"Stage conversion"))*100))))</f>
        <v/>
      </c>
      <c r="L13" s="16">
        <f>IF(OR($A13="",F13=""),"",IF(SUMIFS(Setup!$F$16:$F$33,Setup!$A$16:$A$33,$B13,Setup!$B$16:$B$33,"Win rate")=SUMIFS(Setup!$E$16:$E$33,Setup!$A$16:$A$33,$B13,Setup!$B$16:$B$33,"Win rate"),"",MAX(0,MIN(SUMIFS(Setup!$G$16:$G$33,Setup!$A$16:$A$33,$B13,Setup!$B$16:$B$33,"Win rate"),(F13-SUMIFS(Setup!$E$16:$E$33,Setup!$A$16:$A$33,$B13,Setup!$B$16:$B$33,"Win rate"))/(SUMIFS(Setup!$F$16:$F$33,Setup!$A$16:$A$33,$B13,Setup!$B$16:$B$33,"Win rate")-SUMIFS(Setup!$E$16:$E$33,Setup!$A$16:$A$33,$B13,Setup!$B$16:$B$33,"Win rate"))*100))))</f>
        <v/>
      </c>
      <c r="M13" s="16">
        <f>IF(OR($A13="",G13=""),"",IF(SUMIFS(Setup!$F$16:$F$33,Setup!$A$16:$A$33,$B13,Setup!$B$16:$B$33,"Forecast accuracy")=SUMIFS(Setup!$E$16:$E$33,Setup!$A$16:$A$33,$B13,Setup!$B$16:$B$33,"Forecast accuracy"),"",MAX(0,MIN(SUMIFS(Setup!$G$16:$G$33,Setup!$A$16:$A$33,$B13,Setup!$B$16:$B$33,"Forecast accuracy"),(G13-SUMIFS(Setup!$E$16:$E$33,Setup!$A$16:$A$33,$B13,Setup!$B$16:$B$33,"Forecast accuracy"))/(SUMIFS(Setup!$F$16:$F$33,Setup!$A$16:$A$33,$B13,Setup!$B$16:$B$33,"Forecast accuracy")-SUMIFS(Setup!$E$16:$E$33,Setup!$A$16:$A$33,$B13,Setup!$B$16:$B$33,"Forecast accuracy"))*100))))</f>
        <v/>
      </c>
      <c r="N13" s="16">
        <f>IF(OR($A13="",H13=""),"",IF(SUMIFS(Setup!$F$16:$F$33,Setup!$A$16:$A$33,$B13,Setup!$B$16:$B$33,"Stale pipeline")=SUMIFS(Setup!$E$16:$E$33,Setup!$A$16:$A$33,$B13,Setup!$B$16:$B$33,"Stale pipeline"),"",MAX(0,MIN(SUMIFS(Setup!$G$16:$G$33,Setup!$A$16:$A$33,$B13,Setup!$B$16:$B$33,"Stale pipeline"),(H13-SUMIFS(Setup!$E$16:$E$33,Setup!$A$16:$A$33,$B13,Setup!$B$16:$B$33,"Stale pipeline"))/(SUMIFS(Setup!$F$16:$F$33,Setup!$A$16:$A$33,$B13,Setup!$B$16:$B$33,"Stale pipeline")-SUMIFS(Setup!$E$16:$E$33,Setup!$A$16:$A$33,$B13,Setup!$B$16:$B$33,"Stale pipeline"))*100))))</f>
        <v/>
      </c>
      <c r="O13" s="12">
        <f>IF(ISNUMBER(I13),SUMIFS(Setup!$D$16:$D$33,Setup!$A$16:$A$33,$B13,Setup!$B$16:$B$33,"Quota attainment"),0)</f>
        <v/>
      </c>
      <c r="P13" s="12">
        <f>IF(ISNUMBER(J13),SUMIFS(Setup!$D$16:$D$33,Setup!$A$16:$A$33,$B13,Setup!$B$16:$B$33,"Pipeline created"),0)</f>
        <v/>
      </c>
      <c r="Q13" s="12">
        <f>IF(ISNUMBER(K13),SUMIFS(Setup!$D$16:$D$33,Setup!$A$16:$A$33,$B13,Setup!$B$16:$B$33,"Stage conversion"),0)</f>
        <v/>
      </c>
      <c r="R13" s="12">
        <f>IF(ISNUMBER(L13),SUMIFS(Setup!$D$16:$D$33,Setup!$A$16:$A$33,$B13,Setup!$B$16:$B$33,"Win rate"),0)</f>
        <v/>
      </c>
      <c r="S13" s="12">
        <f>IF(ISNUMBER(M13),SUMIFS(Setup!$D$16:$D$33,Setup!$A$16:$A$33,$B13,Setup!$B$16:$B$33,"Forecast accuracy"),0)</f>
        <v/>
      </c>
      <c r="T13" s="12">
        <f>IF(ISNUMBER(N13),SUMIFS(Setup!$D$16:$D$33,Setup!$A$16:$A$33,$B13,Setup!$B$16:$B$33,"Stale pipeline"),0)</f>
        <v/>
      </c>
      <c r="U13" s="16">
        <f>IF(ISNUMBER(I13),O13*I13,0)</f>
        <v/>
      </c>
      <c r="V13" s="16">
        <f>IF(ISNUMBER(J13),P13*J13,0)</f>
        <v/>
      </c>
      <c r="W13" s="16">
        <f>IF(ISNUMBER(K13),Q13*K13,0)</f>
        <v/>
      </c>
      <c r="X13" s="16">
        <f>IF(ISNUMBER(L13),R13*L13,0)</f>
        <v/>
      </c>
      <c r="Y13" s="16">
        <f>IF(ISNUMBER(M13),S13*M13,0)</f>
        <v/>
      </c>
      <c r="Z13" s="16">
        <f>IF(ISNUMBER(N13),T13*N13,0)</f>
        <v/>
      </c>
      <c r="AA13" s="12">
        <f>SUM(O13:T13)</f>
        <v/>
      </c>
      <c r="AB13" s="16">
        <f>IF(OR(A13="",AA13&lt;=0),"",SUM(U13:Z13)/AA13)</f>
        <v/>
      </c>
      <c r="AC13" s="16">
        <f>IF(AND(ISNUMBER(I13),$AA13&gt;0),O13*MAX(0,100-I13)/$AA13,0)</f>
        <v/>
      </c>
      <c r="AD13" s="16">
        <f>IF(AND(ISNUMBER(J13),$AA13&gt;0),P13*MAX(0,100-J13)/$AA13,0)</f>
        <v/>
      </c>
      <c r="AE13" s="16">
        <f>IF(AND(ISNUMBER(K13),$AA13&gt;0),Q13*MAX(0,100-K13)/$AA13,0)</f>
        <v/>
      </c>
      <c r="AF13" s="16">
        <f>IF(AND(ISNUMBER(L13),$AA13&gt;0),R13*MAX(0,100-L13)/$AA13,0)</f>
        <v/>
      </c>
      <c r="AG13" s="16">
        <f>IF(AND(ISNUMBER(M13),$AA13&gt;0),S13*MAX(0,100-M13)/$AA13,0)</f>
        <v/>
      </c>
      <c r="AH13" s="16">
        <f>IF(AND(ISNUMBER(N13),$AA13&gt;0),T13*MAX(0,100-N13)/$AA13,0)</f>
        <v/>
      </c>
      <c r="AI13" s="13">
        <f>IF(AB13="","",IF(MAX(AC13:AH13)&lt;=0,"All at or above target",INDEX($AC$3:$AH$3,MATCH(MAX(AC13:AH13),AC13:AH13,0))))</f>
        <v/>
      </c>
      <c r="AJ13" s="13">
        <f>IF(AB13="","",IF(AB13&gt;=Setup!$B$10,Setup!$A$10,IF(AB13&gt;=Setup!$B$11,Setup!$A$11,IF(AB13&gt;=Setup!$B$12,Setup!$A$12,Setup!$A$13))))</f>
        <v/>
      </c>
      <c r="AK13" s="12">
        <f>IF(AB13="","",COUNTIF(AB$5:AB$34,"&gt;"&amp;AB13)+1)</f>
        <v/>
      </c>
      <c r="AL13" s="12">
        <f>IF(C13="","",COUNTIF(C$5:C$34,"&gt;"&amp;C13)+1)</f>
        <v/>
      </c>
      <c r="AM13" s="13">
        <f>IF(G13="","",IF(Actuals!B13&gt;Actuals!H13,"Under-called",IF(Actuals!B13&lt;Actuals!H13,"Over-called","Exact")))</f>
        <v/>
      </c>
    </row>
    <row r="14">
      <c r="A14" s="13">
        <f>IF(Reps!A14="","",Reps!A14)</f>
        <v/>
      </c>
      <c r="B14" s="13">
        <f>IF(A14="","",Reps!C14)</f>
        <v/>
      </c>
      <c r="C14" s="15">
        <f>IF(OR(A14="",N(Reps!E14)&lt;=0,Actuals!B14=""),"",Actuals!B14/Reps!E14)</f>
        <v/>
      </c>
      <c r="D14" s="15">
        <f>IF(OR(A14="",N(Reps!F14)&lt;=0,Actuals!C14=""),"",Actuals!C14/Reps!F14)</f>
        <v/>
      </c>
      <c r="E14" s="15">
        <f>IF(OR(A14="",N(Actuals!D14)&lt;=0,Actuals!E14=""),"",Actuals!E14/Actuals!D14)</f>
        <v/>
      </c>
      <c r="F14" s="15">
        <f>IF(OR(A14="",N(Actuals!F14)+N(Actuals!G14)&lt;=0),"",N(Actuals!F14)/(N(Actuals!F14)+N(Actuals!G14)))</f>
        <v/>
      </c>
      <c r="G14" s="15">
        <f>IF(OR(A14="",Actuals!H14=""),"",IF(N(Actuals!B14)&lt;=0,IF(N(Actuals!H14)&gt;0,0,""),MAX(0,1-ABS(Actuals!B14-Actuals!H14)/Actuals!B14)))</f>
        <v/>
      </c>
      <c r="H14" s="15">
        <f>IF(OR(A14="",N(Actuals!I14)&lt;=0,Actuals!J14=""),"",Actuals!J14/Actuals!I14)</f>
        <v/>
      </c>
      <c r="I14" s="16">
        <f>IF(OR($A14="",C14=""),"",IF(SUMIFS(Setup!$F$16:$F$33,Setup!$A$16:$A$33,$B14,Setup!$B$16:$B$33,"Quota attainment")=SUMIFS(Setup!$E$16:$E$33,Setup!$A$16:$A$33,$B14,Setup!$B$16:$B$33,"Quota attainment"),"",MAX(0,MIN(SUMIFS(Setup!$G$16:$G$33,Setup!$A$16:$A$33,$B14,Setup!$B$16:$B$33,"Quota attainment"),(C14-SUMIFS(Setup!$E$16:$E$33,Setup!$A$16:$A$33,$B14,Setup!$B$16:$B$33,"Quota attainment"))/(SUMIFS(Setup!$F$16:$F$33,Setup!$A$16:$A$33,$B14,Setup!$B$16:$B$33,"Quota attainment")-SUMIFS(Setup!$E$16:$E$33,Setup!$A$16:$A$33,$B14,Setup!$B$16:$B$33,"Quota attainment"))*100))))</f>
        <v/>
      </c>
      <c r="J14" s="16">
        <f>IF(OR($A14="",D14=""),"",IF(SUMIFS(Setup!$F$16:$F$33,Setup!$A$16:$A$33,$B14,Setup!$B$16:$B$33,"Pipeline created")=SUMIFS(Setup!$E$16:$E$33,Setup!$A$16:$A$33,$B14,Setup!$B$16:$B$33,"Pipeline created"),"",MAX(0,MIN(SUMIFS(Setup!$G$16:$G$33,Setup!$A$16:$A$33,$B14,Setup!$B$16:$B$33,"Pipeline created"),(D14-SUMIFS(Setup!$E$16:$E$33,Setup!$A$16:$A$33,$B14,Setup!$B$16:$B$33,"Pipeline created"))/(SUMIFS(Setup!$F$16:$F$33,Setup!$A$16:$A$33,$B14,Setup!$B$16:$B$33,"Pipeline created")-SUMIFS(Setup!$E$16:$E$33,Setup!$A$16:$A$33,$B14,Setup!$B$16:$B$33,"Pipeline created"))*100))))</f>
        <v/>
      </c>
      <c r="K14" s="16">
        <f>IF(OR($A14="",E14=""),"",IF(SUMIFS(Setup!$F$16:$F$33,Setup!$A$16:$A$33,$B14,Setup!$B$16:$B$33,"Stage conversion")=SUMIFS(Setup!$E$16:$E$33,Setup!$A$16:$A$33,$B14,Setup!$B$16:$B$33,"Stage conversion"),"",MAX(0,MIN(SUMIFS(Setup!$G$16:$G$33,Setup!$A$16:$A$33,$B14,Setup!$B$16:$B$33,"Stage conversion"),(E14-SUMIFS(Setup!$E$16:$E$33,Setup!$A$16:$A$33,$B14,Setup!$B$16:$B$33,"Stage conversion"))/(SUMIFS(Setup!$F$16:$F$33,Setup!$A$16:$A$33,$B14,Setup!$B$16:$B$33,"Stage conversion")-SUMIFS(Setup!$E$16:$E$33,Setup!$A$16:$A$33,$B14,Setup!$B$16:$B$33,"Stage conversion"))*100))))</f>
        <v/>
      </c>
      <c r="L14" s="16">
        <f>IF(OR($A14="",F14=""),"",IF(SUMIFS(Setup!$F$16:$F$33,Setup!$A$16:$A$33,$B14,Setup!$B$16:$B$33,"Win rate")=SUMIFS(Setup!$E$16:$E$33,Setup!$A$16:$A$33,$B14,Setup!$B$16:$B$33,"Win rate"),"",MAX(0,MIN(SUMIFS(Setup!$G$16:$G$33,Setup!$A$16:$A$33,$B14,Setup!$B$16:$B$33,"Win rate"),(F14-SUMIFS(Setup!$E$16:$E$33,Setup!$A$16:$A$33,$B14,Setup!$B$16:$B$33,"Win rate"))/(SUMIFS(Setup!$F$16:$F$33,Setup!$A$16:$A$33,$B14,Setup!$B$16:$B$33,"Win rate")-SUMIFS(Setup!$E$16:$E$33,Setup!$A$16:$A$33,$B14,Setup!$B$16:$B$33,"Win rate"))*100))))</f>
        <v/>
      </c>
      <c r="M14" s="16">
        <f>IF(OR($A14="",G14=""),"",IF(SUMIFS(Setup!$F$16:$F$33,Setup!$A$16:$A$33,$B14,Setup!$B$16:$B$33,"Forecast accuracy")=SUMIFS(Setup!$E$16:$E$33,Setup!$A$16:$A$33,$B14,Setup!$B$16:$B$33,"Forecast accuracy"),"",MAX(0,MIN(SUMIFS(Setup!$G$16:$G$33,Setup!$A$16:$A$33,$B14,Setup!$B$16:$B$33,"Forecast accuracy"),(G14-SUMIFS(Setup!$E$16:$E$33,Setup!$A$16:$A$33,$B14,Setup!$B$16:$B$33,"Forecast accuracy"))/(SUMIFS(Setup!$F$16:$F$33,Setup!$A$16:$A$33,$B14,Setup!$B$16:$B$33,"Forecast accuracy")-SUMIFS(Setup!$E$16:$E$33,Setup!$A$16:$A$33,$B14,Setup!$B$16:$B$33,"Forecast accuracy"))*100))))</f>
        <v/>
      </c>
      <c r="N14" s="16">
        <f>IF(OR($A14="",H14=""),"",IF(SUMIFS(Setup!$F$16:$F$33,Setup!$A$16:$A$33,$B14,Setup!$B$16:$B$33,"Stale pipeline")=SUMIFS(Setup!$E$16:$E$33,Setup!$A$16:$A$33,$B14,Setup!$B$16:$B$33,"Stale pipeline"),"",MAX(0,MIN(SUMIFS(Setup!$G$16:$G$33,Setup!$A$16:$A$33,$B14,Setup!$B$16:$B$33,"Stale pipeline"),(H14-SUMIFS(Setup!$E$16:$E$33,Setup!$A$16:$A$33,$B14,Setup!$B$16:$B$33,"Stale pipeline"))/(SUMIFS(Setup!$F$16:$F$33,Setup!$A$16:$A$33,$B14,Setup!$B$16:$B$33,"Stale pipeline")-SUMIFS(Setup!$E$16:$E$33,Setup!$A$16:$A$33,$B14,Setup!$B$16:$B$33,"Stale pipeline"))*100))))</f>
        <v/>
      </c>
      <c r="O14" s="12">
        <f>IF(ISNUMBER(I14),SUMIFS(Setup!$D$16:$D$33,Setup!$A$16:$A$33,$B14,Setup!$B$16:$B$33,"Quota attainment"),0)</f>
        <v/>
      </c>
      <c r="P14" s="12">
        <f>IF(ISNUMBER(J14),SUMIFS(Setup!$D$16:$D$33,Setup!$A$16:$A$33,$B14,Setup!$B$16:$B$33,"Pipeline created"),0)</f>
        <v/>
      </c>
      <c r="Q14" s="12">
        <f>IF(ISNUMBER(K14),SUMIFS(Setup!$D$16:$D$33,Setup!$A$16:$A$33,$B14,Setup!$B$16:$B$33,"Stage conversion"),0)</f>
        <v/>
      </c>
      <c r="R14" s="12">
        <f>IF(ISNUMBER(L14),SUMIFS(Setup!$D$16:$D$33,Setup!$A$16:$A$33,$B14,Setup!$B$16:$B$33,"Win rate"),0)</f>
        <v/>
      </c>
      <c r="S14" s="12">
        <f>IF(ISNUMBER(M14),SUMIFS(Setup!$D$16:$D$33,Setup!$A$16:$A$33,$B14,Setup!$B$16:$B$33,"Forecast accuracy"),0)</f>
        <v/>
      </c>
      <c r="T14" s="12">
        <f>IF(ISNUMBER(N14),SUMIFS(Setup!$D$16:$D$33,Setup!$A$16:$A$33,$B14,Setup!$B$16:$B$33,"Stale pipeline"),0)</f>
        <v/>
      </c>
      <c r="U14" s="16">
        <f>IF(ISNUMBER(I14),O14*I14,0)</f>
        <v/>
      </c>
      <c r="V14" s="16">
        <f>IF(ISNUMBER(J14),P14*J14,0)</f>
        <v/>
      </c>
      <c r="W14" s="16">
        <f>IF(ISNUMBER(K14),Q14*K14,0)</f>
        <v/>
      </c>
      <c r="X14" s="16">
        <f>IF(ISNUMBER(L14),R14*L14,0)</f>
        <v/>
      </c>
      <c r="Y14" s="16">
        <f>IF(ISNUMBER(M14),S14*M14,0)</f>
        <v/>
      </c>
      <c r="Z14" s="16">
        <f>IF(ISNUMBER(N14),T14*N14,0)</f>
        <v/>
      </c>
      <c r="AA14" s="12">
        <f>SUM(O14:T14)</f>
        <v/>
      </c>
      <c r="AB14" s="16">
        <f>IF(OR(A14="",AA14&lt;=0),"",SUM(U14:Z14)/AA14)</f>
        <v/>
      </c>
      <c r="AC14" s="16">
        <f>IF(AND(ISNUMBER(I14),$AA14&gt;0),O14*MAX(0,100-I14)/$AA14,0)</f>
        <v/>
      </c>
      <c r="AD14" s="16">
        <f>IF(AND(ISNUMBER(J14),$AA14&gt;0),P14*MAX(0,100-J14)/$AA14,0)</f>
        <v/>
      </c>
      <c r="AE14" s="16">
        <f>IF(AND(ISNUMBER(K14),$AA14&gt;0),Q14*MAX(0,100-K14)/$AA14,0)</f>
        <v/>
      </c>
      <c r="AF14" s="16">
        <f>IF(AND(ISNUMBER(L14),$AA14&gt;0),R14*MAX(0,100-L14)/$AA14,0)</f>
        <v/>
      </c>
      <c r="AG14" s="16">
        <f>IF(AND(ISNUMBER(M14),$AA14&gt;0),S14*MAX(0,100-M14)/$AA14,0)</f>
        <v/>
      </c>
      <c r="AH14" s="16">
        <f>IF(AND(ISNUMBER(N14),$AA14&gt;0),T14*MAX(0,100-N14)/$AA14,0)</f>
        <v/>
      </c>
      <c r="AI14" s="13">
        <f>IF(AB14="","",IF(MAX(AC14:AH14)&lt;=0,"All at or above target",INDEX($AC$3:$AH$3,MATCH(MAX(AC14:AH14),AC14:AH14,0))))</f>
        <v/>
      </c>
      <c r="AJ14" s="13">
        <f>IF(AB14="","",IF(AB14&gt;=Setup!$B$10,Setup!$A$10,IF(AB14&gt;=Setup!$B$11,Setup!$A$11,IF(AB14&gt;=Setup!$B$12,Setup!$A$12,Setup!$A$13))))</f>
        <v/>
      </c>
      <c r="AK14" s="12">
        <f>IF(AB14="","",COUNTIF(AB$5:AB$34,"&gt;"&amp;AB14)+1)</f>
        <v/>
      </c>
      <c r="AL14" s="12">
        <f>IF(C14="","",COUNTIF(C$5:C$34,"&gt;"&amp;C14)+1)</f>
        <v/>
      </c>
      <c r="AM14" s="13">
        <f>IF(G14="","",IF(Actuals!B14&gt;Actuals!H14,"Under-called",IF(Actuals!B14&lt;Actuals!H14,"Over-called","Exact")))</f>
        <v/>
      </c>
    </row>
    <row r="15">
      <c r="A15" s="13">
        <f>IF(Reps!A15="","",Reps!A15)</f>
        <v/>
      </c>
      <c r="B15" s="13">
        <f>IF(A15="","",Reps!C15)</f>
        <v/>
      </c>
      <c r="C15" s="15">
        <f>IF(OR(A15="",N(Reps!E15)&lt;=0,Actuals!B15=""),"",Actuals!B15/Reps!E15)</f>
        <v/>
      </c>
      <c r="D15" s="15">
        <f>IF(OR(A15="",N(Reps!F15)&lt;=0,Actuals!C15=""),"",Actuals!C15/Reps!F15)</f>
        <v/>
      </c>
      <c r="E15" s="15">
        <f>IF(OR(A15="",N(Actuals!D15)&lt;=0,Actuals!E15=""),"",Actuals!E15/Actuals!D15)</f>
        <v/>
      </c>
      <c r="F15" s="15">
        <f>IF(OR(A15="",N(Actuals!F15)+N(Actuals!G15)&lt;=0),"",N(Actuals!F15)/(N(Actuals!F15)+N(Actuals!G15)))</f>
        <v/>
      </c>
      <c r="G15" s="15">
        <f>IF(OR(A15="",Actuals!H15=""),"",IF(N(Actuals!B15)&lt;=0,IF(N(Actuals!H15)&gt;0,0,""),MAX(0,1-ABS(Actuals!B15-Actuals!H15)/Actuals!B15)))</f>
        <v/>
      </c>
      <c r="H15" s="15">
        <f>IF(OR(A15="",N(Actuals!I15)&lt;=0,Actuals!J15=""),"",Actuals!J15/Actuals!I15)</f>
        <v/>
      </c>
      <c r="I15" s="16">
        <f>IF(OR($A15="",C15=""),"",IF(SUMIFS(Setup!$F$16:$F$33,Setup!$A$16:$A$33,$B15,Setup!$B$16:$B$33,"Quota attainment")=SUMIFS(Setup!$E$16:$E$33,Setup!$A$16:$A$33,$B15,Setup!$B$16:$B$33,"Quota attainment"),"",MAX(0,MIN(SUMIFS(Setup!$G$16:$G$33,Setup!$A$16:$A$33,$B15,Setup!$B$16:$B$33,"Quota attainment"),(C15-SUMIFS(Setup!$E$16:$E$33,Setup!$A$16:$A$33,$B15,Setup!$B$16:$B$33,"Quota attainment"))/(SUMIFS(Setup!$F$16:$F$33,Setup!$A$16:$A$33,$B15,Setup!$B$16:$B$33,"Quota attainment")-SUMIFS(Setup!$E$16:$E$33,Setup!$A$16:$A$33,$B15,Setup!$B$16:$B$33,"Quota attainment"))*100))))</f>
        <v/>
      </c>
      <c r="J15" s="16">
        <f>IF(OR($A15="",D15=""),"",IF(SUMIFS(Setup!$F$16:$F$33,Setup!$A$16:$A$33,$B15,Setup!$B$16:$B$33,"Pipeline created")=SUMIFS(Setup!$E$16:$E$33,Setup!$A$16:$A$33,$B15,Setup!$B$16:$B$33,"Pipeline created"),"",MAX(0,MIN(SUMIFS(Setup!$G$16:$G$33,Setup!$A$16:$A$33,$B15,Setup!$B$16:$B$33,"Pipeline created"),(D15-SUMIFS(Setup!$E$16:$E$33,Setup!$A$16:$A$33,$B15,Setup!$B$16:$B$33,"Pipeline created"))/(SUMIFS(Setup!$F$16:$F$33,Setup!$A$16:$A$33,$B15,Setup!$B$16:$B$33,"Pipeline created")-SUMIFS(Setup!$E$16:$E$33,Setup!$A$16:$A$33,$B15,Setup!$B$16:$B$33,"Pipeline created"))*100))))</f>
        <v/>
      </c>
      <c r="K15" s="16">
        <f>IF(OR($A15="",E15=""),"",IF(SUMIFS(Setup!$F$16:$F$33,Setup!$A$16:$A$33,$B15,Setup!$B$16:$B$33,"Stage conversion")=SUMIFS(Setup!$E$16:$E$33,Setup!$A$16:$A$33,$B15,Setup!$B$16:$B$33,"Stage conversion"),"",MAX(0,MIN(SUMIFS(Setup!$G$16:$G$33,Setup!$A$16:$A$33,$B15,Setup!$B$16:$B$33,"Stage conversion"),(E15-SUMIFS(Setup!$E$16:$E$33,Setup!$A$16:$A$33,$B15,Setup!$B$16:$B$33,"Stage conversion"))/(SUMIFS(Setup!$F$16:$F$33,Setup!$A$16:$A$33,$B15,Setup!$B$16:$B$33,"Stage conversion")-SUMIFS(Setup!$E$16:$E$33,Setup!$A$16:$A$33,$B15,Setup!$B$16:$B$33,"Stage conversion"))*100))))</f>
        <v/>
      </c>
      <c r="L15" s="16">
        <f>IF(OR($A15="",F15=""),"",IF(SUMIFS(Setup!$F$16:$F$33,Setup!$A$16:$A$33,$B15,Setup!$B$16:$B$33,"Win rate")=SUMIFS(Setup!$E$16:$E$33,Setup!$A$16:$A$33,$B15,Setup!$B$16:$B$33,"Win rate"),"",MAX(0,MIN(SUMIFS(Setup!$G$16:$G$33,Setup!$A$16:$A$33,$B15,Setup!$B$16:$B$33,"Win rate"),(F15-SUMIFS(Setup!$E$16:$E$33,Setup!$A$16:$A$33,$B15,Setup!$B$16:$B$33,"Win rate"))/(SUMIFS(Setup!$F$16:$F$33,Setup!$A$16:$A$33,$B15,Setup!$B$16:$B$33,"Win rate")-SUMIFS(Setup!$E$16:$E$33,Setup!$A$16:$A$33,$B15,Setup!$B$16:$B$33,"Win rate"))*100))))</f>
        <v/>
      </c>
      <c r="M15" s="16">
        <f>IF(OR($A15="",G15=""),"",IF(SUMIFS(Setup!$F$16:$F$33,Setup!$A$16:$A$33,$B15,Setup!$B$16:$B$33,"Forecast accuracy")=SUMIFS(Setup!$E$16:$E$33,Setup!$A$16:$A$33,$B15,Setup!$B$16:$B$33,"Forecast accuracy"),"",MAX(0,MIN(SUMIFS(Setup!$G$16:$G$33,Setup!$A$16:$A$33,$B15,Setup!$B$16:$B$33,"Forecast accuracy"),(G15-SUMIFS(Setup!$E$16:$E$33,Setup!$A$16:$A$33,$B15,Setup!$B$16:$B$33,"Forecast accuracy"))/(SUMIFS(Setup!$F$16:$F$33,Setup!$A$16:$A$33,$B15,Setup!$B$16:$B$33,"Forecast accuracy")-SUMIFS(Setup!$E$16:$E$33,Setup!$A$16:$A$33,$B15,Setup!$B$16:$B$33,"Forecast accuracy"))*100))))</f>
        <v/>
      </c>
      <c r="N15" s="16">
        <f>IF(OR($A15="",H15=""),"",IF(SUMIFS(Setup!$F$16:$F$33,Setup!$A$16:$A$33,$B15,Setup!$B$16:$B$33,"Stale pipeline")=SUMIFS(Setup!$E$16:$E$33,Setup!$A$16:$A$33,$B15,Setup!$B$16:$B$33,"Stale pipeline"),"",MAX(0,MIN(SUMIFS(Setup!$G$16:$G$33,Setup!$A$16:$A$33,$B15,Setup!$B$16:$B$33,"Stale pipeline"),(H15-SUMIFS(Setup!$E$16:$E$33,Setup!$A$16:$A$33,$B15,Setup!$B$16:$B$33,"Stale pipeline"))/(SUMIFS(Setup!$F$16:$F$33,Setup!$A$16:$A$33,$B15,Setup!$B$16:$B$33,"Stale pipeline")-SUMIFS(Setup!$E$16:$E$33,Setup!$A$16:$A$33,$B15,Setup!$B$16:$B$33,"Stale pipeline"))*100))))</f>
        <v/>
      </c>
      <c r="O15" s="12">
        <f>IF(ISNUMBER(I15),SUMIFS(Setup!$D$16:$D$33,Setup!$A$16:$A$33,$B15,Setup!$B$16:$B$33,"Quota attainment"),0)</f>
        <v/>
      </c>
      <c r="P15" s="12">
        <f>IF(ISNUMBER(J15),SUMIFS(Setup!$D$16:$D$33,Setup!$A$16:$A$33,$B15,Setup!$B$16:$B$33,"Pipeline created"),0)</f>
        <v/>
      </c>
      <c r="Q15" s="12">
        <f>IF(ISNUMBER(K15),SUMIFS(Setup!$D$16:$D$33,Setup!$A$16:$A$33,$B15,Setup!$B$16:$B$33,"Stage conversion"),0)</f>
        <v/>
      </c>
      <c r="R15" s="12">
        <f>IF(ISNUMBER(L15),SUMIFS(Setup!$D$16:$D$33,Setup!$A$16:$A$33,$B15,Setup!$B$16:$B$33,"Win rate"),0)</f>
        <v/>
      </c>
      <c r="S15" s="12">
        <f>IF(ISNUMBER(M15),SUMIFS(Setup!$D$16:$D$33,Setup!$A$16:$A$33,$B15,Setup!$B$16:$B$33,"Forecast accuracy"),0)</f>
        <v/>
      </c>
      <c r="T15" s="12">
        <f>IF(ISNUMBER(N15),SUMIFS(Setup!$D$16:$D$33,Setup!$A$16:$A$33,$B15,Setup!$B$16:$B$33,"Stale pipeline"),0)</f>
        <v/>
      </c>
      <c r="U15" s="16">
        <f>IF(ISNUMBER(I15),O15*I15,0)</f>
        <v/>
      </c>
      <c r="V15" s="16">
        <f>IF(ISNUMBER(J15),P15*J15,0)</f>
        <v/>
      </c>
      <c r="W15" s="16">
        <f>IF(ISNUMBER(K15),Q15*K15,0)</f>
        <v/>
      </c>
      <c r="X15" s="16">
        <f>IF(ISNUMBER(L15),R15*L15,0)</f>
        <v/>
      </c>
      <c r="Y15" s="16">
        <f>IF(ISNUMBER(M15),S15*M15,0)</f>
        <v/>
      </c>
      <c r="Z15" s="16">
        <f>IF(ISNUMBER(N15),T15*N15,0)</f>
        <v/>
      </c>
      <c r="AA15" s="12">
        <f>SUM(O15:T15)</f>
        <v/>
      </c>
      <c r="AB15" s="16">
        <f>IF(OR(A15="",AA15&lt;=0),"",SUM(U15:Z15)/AA15)</f>
        <v/>
      </c>
      <c r="AC15" s="16">
        <f>IF(AND(ISNUMBER(I15),$AA15&gt;0),O15*MAX(0,100-I15)/$AA15,0)</f>
        <v/>
      </c>
      <c r="AD15" s="16">
        <f>IF(AND(ISNUMBER(J15),$AA15&gt;0),P15*MAX(0,100-J15)/$AA15,0)</f>
        <v/>
      </c>
      <c r="AE15" s="16">
        <f>IF(AND(ISNUMBER(K15),$AA15&gt;0),Q15*MAX(0,100-K15)/$AA15,0)</f>
        <v/>
      </c>
      <c r="AF15" s="16">
        <f>IF(AND(ISNUMBER(L15),$AA15&gt;0),R15*MAX(0,100-L15)/$AA15,0)</f>
        <v/>
      </c>
      <c r="AG15" s="16">
        <f>IF(AND(ISNUMBER(M15),$AA15&gt;0),S15*MAX(0,100-M15)/$AA15,0)</f>
        <v/>
      </c>
      <c r="AH15" s="16">
        <f>IF(AND(ISNUMBER(N15),$AA15&gt;0),T15*MAX(0,100-N15)/$AA15,0)</f>
        <v/>
      </c>
      <c r="AI15" s="13">
        <f>IF(AB15="","",IF(MAX(AC15:AH15)&lt;=0,"All at or above target",INDEX($AC$3:$AH$3,MATCH(MAX(AC15:AH15),AC15:AH15,0))))</f>
        <v/>
      </c>
      <c r="AJ15" s="13">
        <f>IF(AB15="","",IF(AB15&gt;=Setup!$B$10,Setup!$A$10,IF(AB15&gt;=Setup!$B$11,Setup!$A$11,IF(AB15&gt;=Setup!$B$12,Setup!$A$12,Setup!$A$13))))</f>
        <v/>
      </c>
      <c r="AK15" s="12">
        <f>IF(AB15="","",COUNTIF(AB$5:AB$34,"&gt;"&amp;AB15)+1)</f>
        <v/>
      </c>
      <c r="AL15" s="12">
        <f>IF(C15="","",COUNTIF(C$5:C$34,"&gt;"&amp;C15)+1)</f>
        <v/>
      </c>
      <c r="AM15" s="13">
        <f>IF(G15="","",IF(Actuals!B15&gt;Actuals!H15,"Under-called",IF(Actuals!B15&lt;Actuals!H15,"Over-called","Exact")))</f>
        <v/>
      </c>
    </row>
    <row r="16">
      <c r="A16" s="13">
        <f>IF(Reps!A16="","",Reps!A16)</f>
        <v/>
      </c>
      <c r="B16" s="13">
        <f>IF(A16="","",Reps!C16)</f>
        <v/>
      </c>
      <c r="C16" s="15">
        <f>IF(OR(A16="",N(Reps!E16)&lt;=0,Actuals!B16=""),"",Actuals!B16/Reps!E16)</f>
        <v/>
      </c>
      <c r="D16" s="15">
        <f>IF(OR(A16="",N(Reps!F16)&lt;=0,Actuals!C16=""),"",Actuals!C16/Reps!F16)</f>
        <v/>
      </c>
      <c r="E16" s="15">
        <f>IF(OR(A16="",N(Actuals!D16)&lt;=0,Actuals!E16=""),"",Actuals!E16/Actuals!D16)</f>
        <v/>
      </c>
      <c r="F16" s="15">
        <f>IF(OR(A16="",N(Actuals!F16)+N(Actuals!G16)&lt;=0),"",N(Actuals!F16)/(N(Actuals!F16)+N(Actuals!G16)))</f>
        <v/>
      </c>
      <c r="G16" s="15">
        <f>IF(OR(A16="",Actuals!H16=""),"",IF(N(Actuals!B16)&lt;=0,IF(N(Actuals!H16)&gt;0,0,""),MAX(0,1-ABS(Actuals!B16-Actuals!H16)/Actuals!B16)))</f>
        <v/>
      </c>
      <c r="H16" s="15">
        <f>IF(OR(A16="",N(Actuals!I16)&lt;=0,Actuals!J16=""),"",Actuals!J16/Actuals!I16)</f>
        <v/>
      </c>
      <c r="I16" s="16">
        <f>IF(OR($A16="",C16=""),"",IF(SUMIFS(Setup!$F$16:$F$33,Setup!$A$16:$A$33,$B16,Setup!$B$16:$B$33,"Quota attainment")=SUMIFS(Setup!$E$16:$E$33,Setup!$A$16:$A$33,$B16,Setup!$B$16:$B$33,"Quota attainment"),"",MAX(0,MIN(SUMIFS(Setup!$G$16:$G$33,Setup!$A$16:$A$33,$B16,Setup!$B$16:$B$33,"Quota attainment"),(C16-SUMIFS(Setup!$E$16:$E$33,Setup!$A$16:$A$33,$B16,Setup!$B$16:$B$33,"Quota attainment"))/(SUMIFS(Setup!$F$16:$F$33,Setup!$A$16:$A$33,$B16,Setup!$B$16:$B$33,"Quota attainment")-SUMIFS(Setup!$E$16:$E$33,Setup!$A$16:$A$33,$B16,Setup!$B$16:$B$33,"Quota attainment"))*100))))</f>
        <v/>
      </c>
      <c r="J16" s="16">
        <f>IF(OR($A16="",D16=""),"",IF(SUMIFS(Setup!$F$16:$F$33,Setup!$A$16:$A$33,$B16,Setup!$B$16:$B$33,"Pipeline created")=SUMIFS(Setup!$E$16:$E$33,Setup!$A$16:$A$33,$B16,Setup!$B$16:$B$33,"Pipeline created"),"",MAX(0,MIN(SUMIFS(Setup!$G$16:$G$33,Setup!$A$16:$A$33,$B16,Setup!$B$16:$B$33,"Pipeline created"),(D16-SUMIFS(Setup!$E$16:$E$33,Setup!$A$16:$A$33,$B16,Setup!$B$16:$B$33,"Pipeline created"))/(SUMIFS(Setup!$F$16:$F$33,Setup!$A$16:$A$33,$B16,Setup!$B$16:$B$33,"Pipeline created")-SUMIFS(Setup!$E$16:$E$33,Setup!$A$16:$A$33,$B16,Setup!$B$16:$B$33,"Pipeline created"))*100))))</f>
        <v/>
      </c>
      <c r="K16" s="16">
        <f>IF(OR($A16="",E16=""),"",IF(SUMIFS(Setup!$F$16:$F$33,Setup!$A$16:$A$33,$B16,Setup!$B$16:$B$33,"Stage conversion")=SUMIFS(Setup!$E$16:$E$33,Setup!$A$16:$A$33,$B16,Setup!$B$16:$B$33,"Stage conversion"),"",MAX(0,MIN(SUMIFS(Setup!$G$16:$G$33,Setup!$A$16:$A$33,$B16,Setup!$B$16:$B$33,"Stage conversion"),(E16-SUMIFS(Setup!$E$16:$E$33,Setup!$A$16:$A$33,$B16,Setup!$B$16:$B$33,"Stage conversion"))/(SUMIFS(Setup!$F$16:$F$33,Setup!$A$16:$A$33,$B16,Setup!$B$16:$B$33,"Stage conversion")-SUMIFS(Setup!$E$16:$E$33,Setup!$A$16:$A$33,$B16,Setup!$B$16:$B$33,"Stage conversion"))*100))))</f>
        <v/>
      </c>
      <c r="L16" s="16">
        <f>IF(OR($A16="",F16=""),"",IF(SUMIFS(Setup!$F$16:$F$33,Setup!$A$16:$A$33,$B16,Setup!$B$16:$B$33,"Win rate")=SUMIFS(Setup!$E$16:$E$33,Setup!$A$16:$A$33,$B16,Setup!$B$16:$B$33,"Win rate"),"",MAX(0,MIN(SUMIFS(Setup!$G$16:$G$33,Setup!$A$16:$A$33,$B16,Setup!$B$16:$B$33,"Win rate"),(F16-SUMIFS(Setup!$E$16:$E$33,Setup!$A$16:$A$33,$B16,Setup!$B$16:$B$33,"Win rate"))/(SUMIFS(Setup!$F$16:$F$33,Setup!$A$16:$A$33,$B16,Setup!$B$16:$B$33,"Win rate")-SUMIFS(Setup!$E$16:$E$33,Setup!$A$16:$A$33,$B16,Setup!$B$16:$B$33,"Win rate"))*100))))</f>
        <v/>
      </c>
      <c r="M16" s="16">
        <f>IF(OR($A16="",G16=""),"",IF(SUMIFS(Setup!$F$16:$F$33,Setup!$A$16:$A$33,$B16,Setup!$B$16:$B$33,"Forecast accuracy")=SUMIFS(Setup!$E$16:$E$33,Setup!$A$16:$A$33,$B16,Setup!$B$16:$B$33,"Forecast accuracy"),"",MAX(0,MIN(SUMIFS(Setup!$G$16:$G$33,Setup!$A$16:$A$33,$B16,Setup!$B$16:$B$33,"Forecast accuracy"),(G16-SUMIFS(Setup!$E$16:$E$33,Setup!$A$16:$A$33,$B16,Setup!$B$16:$B$33,"Forecast accuracy"))/(SUMIFS(Setup!$F$16:$F$33,Setup!$A$16:$A$33,$B16,Setup!$B$16:$B$33,"Forecast accuracy")-SUMIFS(Setup!$E$16:$E$33,Setup!$A$16:$A$33,$B16,Setup!$B$16:$B$33,"Forecast accuracy"))*100))))</f>
        <v/>
      </c>
      <c r="N16" s="16">
        <f>IF(OR($A16="",H16=""),"",IF(SUMIFS(Setup!$F$16:$F$33,Setup!$A$16:$A$33,$B16,Setup!$B$16:$B$33,"Stale pipeline")=SUMIFS(Setup!$E$16:$E$33,Setup!$A$16:$A$33,$B16,Setup!$B$16:$B$33,"Stale pipeline"),"",MAX(0,MIN(SUMIFS(Setup!$G$16:$G$33,Setup!$A$16:$A$33,$B16,Setup!$B$16:$B$33,"Stale pipeline"),(H16-SUMIFS(Setup!$E$16:$E$33,Setup!$A$16:$A$33,$B16,Setup!$B$16:$B$33,"Stale pipeline"))/(SUMIFS(Setup!$F$16:$F$33,Setup!$A$16:$A$33,$B16,Setup!$B$16:$B$33,"Stale pipeline")-SUMIFS(Setup!$E$16:$E$33,Setup!$A$16:$A$33,$B16,Setup!$B$16:$B$33,"Stale pipeline"))*100))))</f>
        <v/>
      </c>
      <c r="O16" s="12">
        <f>IF(ISNUMBER(I16),SUMIFS(Setup!$D$16:$D$33,Setup!$A$16:$A$33,$B16,Setup!$B$16:$B$33,"Quota attainment"),0)</f>
        <v/>
      </c>
      <c r="P16" s="12">
        <f>IF(ISNUMBER(J16),SUMIFS(Setup!$D$16:$D$33,Setup!$A$16:$A$33,$B16,Setup!$B$16:$B$33,"Pipeline created"),0)</f>
        <v/>
      </c>
      <c r="Q16" s="12">
        <f>IF(ISNUMBER(K16),SUMIFS(Setup!$D$16:$D$33,Setup!$A$16:$A$33,$B16,Setup!$B$16:$B$33,"Stage conversion"),0)</f>
        <v/>
      </c>
      <c r="R16" s="12">
        <f>IF(ISNUMBER(L16),SUMIFS(Setup!$D$16:$D$33,Setup!$A$16:$A$33,$B16,Setup!$B$16:$B$33,"Win rate"),0)</f>
        <v/>
      </c>
      <c r="S16" s="12">
        <f>IF(ISNUMBER(M16),SUMIFS(Setup!$D$16:$D$33,Setup!$A$16:$A$33,$B16,Setup!$B$16:$B$33,"Forecast accuracy"),0)</f>
        <v/>
      </c>
      <c r="T16" s="12">
        <f>IF(ISNUMBER(N16),SUMIFS(Setup!$D$16:$D$33,Setup!$A$16:$A$33,$B16,Setup!$B$16:$B$33,"Stale pipeline"),0)</f>
        <v/>
      </c>
      <c r="U16" s="16">
        <f>IF(ISNUMBER(I16),O16*I16,0)</f>
        <v/>
      </c>
      <c r="V16" s="16">
        <f>IF(ISNUMBER(J16),P16*J16,0)</f>
        <v/>
      </c>
      <c r="W16" s="16">
        <f>IF(ISNUMBER(K16),Q16*K16,0)</f>
        <v/>
      </c>
      <c r="X16" s="16">
        <f>IF(ISNUMBER(L16),R16*L16,0)</f>
        <v/>
      </c>
      <c r="Y16" s="16">
        <f>IF(ISNUMBER(M16),S16*M16,0)</f>
        <v/>
      </c>
      <c r="Z16" s="16">
        <f>IF(ISNUMBER(N16),T16*N16,0)</f>
        <v/>
      </c>
      <c r="AA16" s="12">
        <f>SUM(O16:T16)</f>
        <v/>
      </c>
      <c r="AB16" s="16">
        <f>IF(OR(A16="",AA16&lt;=0),"",SUM(U16:Z16)/AA16)</f>
        <v/>
      </c>
      <c r="AC16" s="16">
        <f>IF(AND(ISNUMBER(I16),$AA16&gt;0),O16*MAX(0,100-I16)/$AA16,0)</f>
        <v/>
      </c>
      <c r="AD16" s="16">
        <f>IF(AND(ISNUMBER(J16),$AA16&gt;0),P16*MAX(0,100-J16)/$AA16,0)</f>
        <v/>
      </c>
      <c r="AE16" s="16">
        <f>IF(AND(ISNUMBER(K16),$AA16&gt;0),Q16*MAX(0,100-K16)/$AA16,0)</f>
        <v/>
      </c>
      <c r="AF16" s="16">
        <f>IF(AND(ISNUMBER(L16),$AA16&gt;0),R16*MAX(0,100-L16)/$AA16,0)</f>
        <v/>
      </c>
      <c r="AG16" s="16">
        <f>IF(AND(ISNUMBER(M16),$AA16&gt;0),S16*MAX(0,100-M16)/$AA16,0)</f>
        <v/>
      </c>
      <c r="AH16" s="16">
        <f>IF(AND(ISNUMBER(N16),$AA16&gt;0),T16*MAX(0,100-N16)/$AA16,0)</f>
        <v/>
      </c>
      <c r="AI16" s="13">
        <f>IF(AB16="","",IF(MAX(AC16:AH16)&lt;=0,"All at or above target",INDEX($AC$3:$AH$3,MATCH(MAX(AC16:AH16),AC16:AH16,0))))</f>
        <v/>
      </c>
      <c r="AJ16" s="13">
        <f>IF(AB16="","",IF(AB16&gt;=Setup!$B$10,Setup!$A$10,IF(AB16&gt;=Setup!$B$11,Setup!$A$11,IF(AB16&gt;=Setup!$B$12,Setup!$A$12,Setup!$A$13))))</f>
        <v/>
      </c>
      <c r="AK16" s="12">
        <f>IF(AB16="","",COUNTIF(AB$5:AB$34,"&gt;"&amp;AB16)+1)</f>
        <v/>
      </c>
      <c r="AL16" s="12">
        <f>IF(C16="","",COUNTIF(C$5:C$34,"&gt;"&amp;C16)+1)</f>
        <v/>
      </c>
      <c r="AM16" s="13">
        <f>IF(G16="","",IF(Actuals!B16&gt;Actuals!H16,"Under-called",IF(Actuals!B16&lt;Actuals!H16,"Over-called","Exact")))</f>
        <v/>
      </c>
    </row>
    <row r="17">
      <c r="A17" s="13">
        <f>IF(Reps!A17="","",Reps!A17)</f>
        <v/>
      </c>
      <c r="B17" s="13">
        <f>IF(A17="","",Reps!C17)</f>
        <v/>
      </c>
      <c r="C17" s="15">
        <f>IF(OR(A17="",N(Reps!E17)&lt;=0,Actuals!B17=""),"",Actuals!B17/Reps!E17)</f>
        <v/>
      </c>
      <c r="D17" s="15">
        <f>IF(OR(A17="",N(Reps!F17)&lt;=0,Actuals!C17=""),"",Actuals!C17/Reps!F17)</f>
        <v/>
      </c>
      <c r="E17" s="15">
        <f>IF(OR(A17="",N(Actuals!D17)&lt;=0,Actuals!E17=""),"",Actuals!E17/Actuals!D17)</f>
        <v/>
      </c>
      <c r="F17" s="15">
        <f>IF(OR(A17="",N(Actuals!F17)+N(Actuals!G17)&lt;=0),"",N(Actuals!F17)/(N(Actuals!F17)+N(Actuals!G17)))</f>
        <v/>
      </c>
      <c r="G17" s="15">
        <f>IF(OR(A17="",Actuals!H17=""),"",IF(N(Actuals!B17)&lt;=0,IF(N(Actuals!H17)&gt;0,0,""),MAX(0,1-ABS(Actuals!B17-Actuals!H17)/Actuals!B17)))</f>
        <v/>
      </c>
      <c r="H17" s="15">
        <f>IF(OR(A17="",N(Actuals!I17)&lt;=0,Actuals!J17=""),"",Actuals!J17/Actuals!I17)</f>
        <v/>
      </c>
      <c r="I17" s="16">
        <f>IF(OR($A17="",C17=""),"",IF(SUMIFS(Setup!$F$16:$F$33,Setup!$A$16:$A$33,$B17,Setup!$B$16:$B$33,"Quota attainment")=SUMIFS(Setup!$E$16:$E$33,Setup!$A$16:$A$33,$B17,Setup!$B$16:$B$33,"Quota attainment"),"",MAX(0,MIN(SUMIFS(Setup!$G$16:$G$33,Setup!$A$16:$A$33,$B17,Setup!$B$16:$B$33,"Quota attainment"),(C17-SUMIFS(Setup!$E$16:$E$33,Setup!$A$16:$A$33,$B17,Setup!$B$16:$B$33,"Quota attainment"))/(SUMIFS(Setup!$F$16:$F$33,Setup!$A$16:$A$33,$B17,Setup!$B$16:$B$33,"Quota attainment")-SUMIFS(Setup!$E$16:$E$33,Setup!$A$16:$A$33,$B17,Setup!$B$16:$B$33,"Quota attainment"))*100))))</f>
        <v/>
      </c>
      <c r="J17" s="16">
        <f>IF(OR($A17="",D17=""),"",IF(SUMIFS(Setup!$F$16:$F$33,Setup!$A$16:$A$33,$B17,Setup!$B$16:$B$33,"Pipeline created")=SUMIFS(Setup!$E$16:$E$33,Setup!$A$16:$A$33,$B17,Setup!$B$16:$B$33,"Pipeline created"),"",MAX(0,MIN(SUMIFS(Setup!$G$16:$G$33,Setup!$A$16:$A$33,$B17,Setup!$B$16:$B$33,"Pipeline created"),(D17-SUMIFS(Setup!$E$16:$E$33,Setup!$A$16:$A$33,$B17,Setup!$B$16:$B$33,"Pipeline created"))/(SUMIFS(Setup!$F$16:$F$33,Setup!$A$16:$A$33,$B17,Setup!$B$16:$B$33,"Pipeline created")-SUMIFS(Setup!$E$16:$E$33,Setup!$A$16:$A$33,$B17,Setup!$B$16:$B$33,"Pipeline created"))*100))))</f>
        <v/>
      </c>
      <c r="K17" s="16">
        <f>IF(OR($A17="",E17=""),"",IF(SUMIFS(Setup!$F$16:$F$33,Setup!$A$16:$A$33,$B17,Setup!$B$16:$B$33,"Stage conversion")=SUMIFS(Setup!$E$16:$E$33,Setup!$A$16:$A$33,$B17,Setup!$B$16:$B$33,"Stage conversion"),"",MAX(0,MIN(SUMIFS(Setup!$G$16:$G$33,Setup!$A$16:$A$33,$B17,Setup!$B$16:$B$33,"Stage conversion"),(E17-SUMIFS(Setup!$E$16:$E$33,Setup!$A$16:$A$33,$B17,Setup!$B$16:$B$33,"Stage conversion"))/(SUMIFS(Setup!$F$16:$F$33,Setup!$A$16:$A$33,$B17,Setup!$B$16:$B$33,"Stage conversion")-SUMIFS(Setup!$E$16:$E$33,Setup!$A$16:$A$33,$B17,Setup!$B$16:$B$33,"Stage conversion"))*100))))</f>
        <v/>
      </c>
      <c r="L17" s="16">
        <f>IF(OR($A17="",F17=""),"",IF(SUMIFS(Setup!$F$16:$F$33,Setup!$A$16:$A$33,$B17,Setup!$B$16:$B$33,"Win rate")=SUMIFS(Setup!$E$16:$E$33,Setup!$A$16:$A$33,$B17,Setup!$B$16:$B$33,"Win rate"),"",MAX(0,MIN(SUMIFS(Setup!$G$16:$G$33,Setup!$A$16:$A$33,$B17,Setup!$B$16:$B$33,"Win rate"),(F17-SUMIFS(Setup!$E$16:$E$33,Setup!$A$16:$A$33,$B17,Setup!$B$16:$B$33,"Win rate"))/(SUMIFS(Setup!$F$16:$F$33,Setup!$A$16:$A$33,$B17,Setup!$B$16:$B$33,"Win rate")-SUMIFS(Setup!$E$16:$E$33,Setup!$A$16:$A$33,$B17,Setup!$B$16:$B$33,"Win rate"))*100))))</f>
        <v/>
      </c>
      <c r="M17" s="16">
        <f>IF(OR($A17="",G17=""),"",IF(SUMIFS(Setup!$F$16:$F$33,Setup!$A$16:$A$33,$B17,Setup!$B$16:$B$33,"Forecast accuracy")=SUMIFS(Setup!$E$16:$E$33,Setup!$A$16:$A$33,$B17,Setup!$B$16:$B$33,"Forecast accuracy"),"",MAX(0,MIN(SUMIFS(Setup!$G$16:$G$33,Setup!$A$16:$A$33,$B17,Setup!$B$16:$B$33,"Forecast accuracy"),(G17-SUMIFS(Setup!$E$16:$E$33,Setup!$A$16:$A$33,$B17,Setup!$B$16:$B$33,"Forecast accuracy"))/(SUMIFS(Setup!$F$16:$F$33,Setup!$A$16:$A$33,$B17,Setup!$B$16:$B$33,"Forecast accuracy")-SUMIFS(Setup!$E$16:$E$33,Setup!$A$16:$A$33,$B17,Setup!$B$16:$B$33,"Forecast accuracy"))*100))))</f>
        <v/>
      </c>
      <c r="N17" s="16">
        <f>IF(OR($A17="",H17=""),"",IF(SUMIFS(Setup!$F$16:$F$33,Setup!$A$16:$A$33,$B17,Setup!$B$16:$B$33,"Stale pipeline")=SUMIFS(Setup!$E$16:$E$33,Setup!$A$16:$A$33,$B17,Setup!$B$16:$B$33,"Stale pipeline"),"",MAX(0,MIN(SUMIFS(Setup!$G$16:$G$33,Setup!$A$16:$A$33,$B17,Setup!$B$16:$B$33,"Stale pipeline"),(H17-SUMIFS(Setup!$E$16:$E$33,Setup!$A$16:$A$33,$B17,Setup!$B$16:$B$33,"Stale pipeline"))/(SUMIFS(Setup!$F$16:$F$33,Setup!$A$16:$A$33,$B17,Setup!$B$16:$B$33,"Stale pipeline")-SUMIFS(Setup!$E$16:$E$33,Setup!$A$16:$A$33,$B17,Setup!$B$16:$B$33,"Stale pipeline"))*100))))</f>
        <v/>
      </c>
      <c r="O17" s="12">
        <f>IF(ISNUMBER(I17),SUMIFS(Setup!$D$16:$D$33,Setup!$A$16:$A$33,$B17,Setup!$B$16:$B$33,"Quota attainment"),0)</f>
        <v/>
      </c>
      <c r="P17" s="12">
        <f>IF(ISNUMBER(J17),SUMIFS(Setup!$D$16:$D$33,Setup!$A$16:$A$33,$B17,Setup!$B$16:$B$33,"Pipeline created"),0)</f>
        <v/>
      </c>
      <c r="Q17" s="12">
        <f>IF(ISNUMBER(K17),SUMIFS(Setup!$D$16:$D$33,Setup!$A$16:$A$33,$B17,Setup!$B$16:$B$33,"Stage conversion"),0)</f>
        <v/>
      </c>
      <c r="R17" s="12">
        <f>IF(ISNUMBER(L17),SUMIFS(Setup!$D$16:$D$33,Setup!$A$16:$A$33,$B17,Setup!$B$16:$B$33,"Win rate"),0)</f>
        <v/>
      </c>
      <c r="S17" s="12">
        <f>IF(ISNUMBER(M17),SUMIFS(Setup!$D$16:$D$33,Setup!$A$16:$A$33,$B17,Setup!$B$16:$B$33,"Forecast accuracy"),0)</f>
        <v/>
      </c>
      <c r="T17" s="12">
        <f>IF(ISNUMBER(N17),SUMIFS(Setup!$D$16:$D$33,Setup!$A$16:$A$33,$B17,Setup!$B$16:$B$33,"Stale pipeline"),0)</f>
        <v/>
      </c>
      <c r="U17" s="16">
        <f>IF(ISNUMBER(I17),O17*I17,0)</f>
        <v/>
      </c>
      <c r="V17" s="16">
        <f>IF(ISNUMBER(J17),P17*J17,0)</f>
        <v/>
      </c>
      <c r="W17" s="16">
        <f>IF(ISNUMBER(K17),Q17*K17,0)</f>
        <v/>
      </c>
      <c r="X17" s="16">
        <f>IF(ISNUMBER(L17),R17*L17,0)</f>
        <v/>
      </c>
      <c r="Y17" s="16">
        <f>IF(ISNUMBER(M17),S17*M17,0)</f>
        <v/>
      </c>
      <c r="Z17" s="16">
        <f>IF(ISNUMBER(N17),T17*N17,0)</f>
        <v/>
      </c>
      <c r="AA17" s="12">
        <f>SUM(O17:T17)</f>
        <v/>
      </c>
      <c r="AB17" s="16">
        <f>IF(OR(A17="",AA17&lt;=0),"",SUM(U17:Z17)/AA17)</f>
        <v/>
      </c>
      <c r="AC17" s="16">
        <f>IF(AND(ISNUMBER(I17),$AA17&gt;0),O17*MAX(0,100-I17)/$AA17,0)</f>
        <v/>
      </c>
      <c r="AD17" s="16">
        <f>IF(AND(ISNUMBER(J17),$AA17&gt;0),P17*MAX(0,100-J17)/$AA17,0)</f>
        <v/>
      </c>
      <c r="AE17" s="16">
        <f>IF(AND(ISNUMBER(K17),$AA17&gt;0),Q17*MAX(0,100-K17)/$AA17,0)</f>
        <v/>
      </c>
      <c r="AF17" s="16">
        <f>IF(AND(ISNUMBER(L17),$AA17&gt;0),R17*MAX(0,100-L17)/$AA17,0)</f>
        <v/>
      </c>
      <c r="AG17" s="16">
        <f>IF(AND(ISNUMBER(M17),$AA17&gt;0),S17*MAX(0,100-M17)/$AA17,0)</f>
        <v/>
      </c>
      <c r="AH17" s="16">
        <f>IF(AND(ISNUMBER(N17),$AA17&gt;0),T17*MAX(0,100-N17)/$AA17,0)</f>
        <v/>
      </c>
      <c r="AI17" s="13">
        <f>IF(AB17="","",IF(MAX(AC17:AH17)&lt;=0,"All at or above target",INDEX($AC$3:$AH$3,MATCH(MAX(AC17:AH17),AC17:AH17,0))))</f>
        <v/>
      </c>
      <c r="AJ17" s="13">
        <f>IF(AB17="","",IF(AB17&gt;=Setup!$B$10,Setup!$A$10,IF(AB17&gt;=Setup!$B$11,Setup!$A$11,IF(AB17&gt;=Setup!$B$12,Setup!$A$12,Setup!$A$13))))</f>
        <v/>
      </c>
      <c r="AK17" s="12">
        <f>IF(AB17="","",COUNTIF(AB$5:AB$34,"&gt;"&amp;AB17)+1)</f>
        <v/>
      </c>
      <c r="AL17" s="12">
        <f>IF(C17="","",COUNTIF(C$5:C$34,"&gt;"&amp;C17)+1)</f>
        <v/>
      </c>
      <c r="AM17" s="13">
        <f>IF(G17="","",IF(Actuals!B17&gt;Actuals!H17,"Under-called",IF(Actuals!B17&lt;Actuals!H17,"Over-called","Exact")))</f>
        <v/>
      </c>
    </row>
    <row r="18">
      <c r="A18" s="13">
        <f>IF(Reps!A18="","",Reps!A18)</f>
        <v/>
      </c>
      <c r="B18" s="13">
        <f>IF(A18="","",Reps!C18)</f>
        <v/>
      </c>
      <c r="C18" s="15">
        <f>IF(OR(A18="",N(Reps!E18)&lt;=0,Actuals!B18=""),"",Actuals!B18/Reps!E18)</f>
        <v/>
      </c>
      <c r="D18" s="15">
        <f>IF(OR(A18="",N(Reps!F18)&lt;=0,Actuals!C18=""),"",Actuals!C18/Reps!F18)</f>
        <v/>
      </c>
      <c r="E18" s="15">
        <f>IF(OR(A18="",N(Actuals!D18)&lt;=0,Actuals!E18=""),"",Actuals!E18/Actuals!D18)</f>
        <v/>
      </c>
      <c r="F18" s="15">
        <f>IF(OR(A18="",N(Actuals!F18)+N(Actuals!G18)&lt;=0),"",N(Actuals!F18)/(N(Actuals!F18)+N(Actuals!G18)))</f>
        <v/>
      </c>
      <c r="G18" s="15">
        <f>IF(OR(A18="",Actuals!H18=""),"",IF(N(Actuals!B18)&lt;=0,IF(N(Actuals!H18)&gt;0,0,""),MAX(0,1-ABS(Actuals!B18-Actuals!H18)/Actuals!B18)))</f>
        <v/>
      </c>
      <c r="H18" s="15">
        <f>IF(OR(A18="",N(Actuals!I18)&lt;=0,Actuals!J18=""),"",Actuals!J18/Actuals!I18)</f>
        <v/>
      </c>
      <c r="I18" s="16">
        <f>IF(OR($A18="",C18=""),"",IF(SUMIFS(Setup!$F$16:$F$33,Setup!$A$16:$A$33,$B18,Setup!$B$16:$B$33,"Quota attainment")=SUMIFS(Setup!$E$16:$E$33,Setup!$A$16:$A$33,$B18,Setup!$B$16:$B$33,"Quota attainment"),"",MAX(0,MIN(SUMIFS(Setup!$G$16:$G$33,Setup!$A$16:$A$33,$B18,Setup!$B$16:$B$33,"Quota attainment"),(C18-SUMIFS(Setup!$E$16:$E$33,Setup!$A$16:$A$33,$B18,Setup!$B$16:$B$33,"Quota attainment"))/(SUMIFS(Setup!$F$16:$F$33,Setup!$A$16:$A$33,$B18,Setup!$B$16:$B$33,"Quota attainment")-SUMIFS(Setup!$E$16:$E$33,Setup!$A$16:$A$33,$B18,Setup!$B$16:$B$33,"Quota attainment"))*100))))</f>
        <v/>
      </c>
      <c r="J18" s="16">
        <f>IF(OR($A18="",D18=""),"",IF(SUMIFS(Setup!$F$16:$F$33,Setup!$A$16:$A$33,$B18,Setup!$B$16:$B$33,"Pipeline created")=SUMIFS(Setup!$E$16:$E$33,Setup!$A$16:$A$33,$B18,Setup!$B$16:$B$33,"Pipeline created"),"",MAX(0,MIN(SUMIFS(Setup!$G$16:$G$33,Setup!$A$16:$A$33,$B18,Setup!$B$16:$B$33,"Pipeline created"),(D18-SUMIFS(Setup!$E$16:$E$33,Setup!$A$16:$A$33,$B18,Setup!$B$16:$B$33,"Pipeline created"))/(SUMIFS(Setup!$F$16:$F$33,Setup!$A$16:$A$33,$B18,Setup!$B$16:$B$33,"Pipeline created")-SUMIFS(Setup!$E$16:$E$33,Setup!$A$16:$A$33,$B18,Setup!$B$16:$B$33,"Pipeline created"))*100))))</f>
        <v/>
      </c>
      <c r="K18" s="16">
        <f>IF(OR($A18="",E18=""),"",IF(SUMIFS(Setup!$F$16:$F$33,Setup!$A$16:$A$33,$B18,Setup!$B$16:$B$33,"Stage conversion")=SUMIFS(Setup!$E$16:$E$33,Setup!$A$16:$A$33,$B18,Setup!$B$16:$B$33,"Stage conversion"),"",MAX(0,MIN(SUMIFS(Setup!$G$16:$G$33,Setup!$A$16:$A$33,$B18,Setup!$B$16:$B$33,"Stage conversion"),(E18-SUMIFS(Setup!$E$16:$E$33,Setup!$A$16:$A$33,$B18,Setup!$B$16:$B$33,"Stage conversion"))/(SUMIFS(Setup!$F$16:$F$33,Setup!$A$16:$A$33,$B18,Setup!$B$16:$B$33,"Stage conversion")-SUMIFS(Setup!$E$16:$E$33,Setup!$A$16:$A$33,$B18,Setup!$B$16:$B$33,"Stage conversion"))*100))))</f>
        <v/>
      </c>
      <c r="L18" s="16">
        <f>IF(OR($A18="",F18=""),"",IF(SUMIFS(Setup!$F$16:$F$33,Setup!$A$16:$A$33,$B18,Setup!$B$16:$B$33,"Win rate")=SUMIFS(Setup!$E$16:$E$33,Setup!$A$16:$A$33,$B18,Setup!$B$16:$B$33,"Win rate"),"",MAX(0,MIN(SUMIFS(Setup!$G$16:$G$33,Setup!$A$16:$A$33,$B18,Setup!$B$16:$B$33,"Win rate"),(F18-SUMIFS(Setup!$E$16:$E$33,Setup!$A$16:$A$33,$B18,Setup!$B$16:$B$33,"Win rate"))/(SUMIFS(Setup!$F$16:$F$33,Setup!$A$16:$A$33,$B18,Setup!$B$16:$B$33,"Win rate")-SUMIFS(Setup!$E$16:$E$33,Setup!$A$16:$A$33,$B18,Setup!$B$16:$B$33,"Win rate"))*100))))</f>
        <v/>
      </c>
      <c r="M18" s="16">
        <f>IF(OR($A18="",G18=""),"",IF(SUMIFS(Setup!$F$16:$F$33,Setup!$A$16:$A$33,$B18,Setup!$B$16:$B$33,"Forecast accuracy")=SUMIFS(Setup!$E$16:$E$33,Setup!$A$16:$A$33,$B18,Setup!$B$16:$B$33,"Forecast accuracy"),"",MAX(0,MIN(SUMIFS(Setup!$G$16:$G$33,Setup!$A$16:$A$33,$B18,Setup!$B$16:$B$33,"Forecast accuracy"),(G18-SUMIFS(Setup!$E$16:$E$33,Setup!$A$16:$A$33,$B18,Setup!$B$16:$B$33,"Forecast accuracy"))/(SUMIFS(Setup!$F$16:$F$33,Setup!$A$16:$A$33,$B18,Setup!$B$16:$B$33,"Forecast accuracy")-SUMIFS(Setup!$E$16:$E$33,Setup!$A$16:$A$33,$B18,Setup!$B$16:$B$33,"Forecast accuracy"))*100))))</f>
        <v/>
      </c>
      <c r="N18" s="16">
        <f>IF(OR($A18="",H18=""),"",IF(SUMIFS(Setup!$F$16:$F$33,Setup!$A$16:$A$33,$B18,Setup!$B$16:$B$33,"Stale pipeline")=SUMIFS(Setup!$E$16:$E$33,Setup!$A$16:$A$33,$B18,Setup!$B$16:$B$33,"Stale pipeline"),"",MAX(0,MIN(SUMIFS(Setup!$G$16:$G$33,Setup!$A$16:$A$33,$B18,Setup!$B$16:$B$33,"Stale pipeline"),(H18-SUMIFS(Setup!$E$16:$E$33,Setup!$A$16:$A$33,$B18,Setup!$B$16:$B$33,"Stale pipeline"))/(SUMIFS(Setup!$F$16:$F$33,Setup!$A$16:$A$33,$B18,Setup!$B$16:$B$33,"Stale pipeline")-SUMIFS(Setup!$E$16:$E$33,Setup!$A$16:$A$33,$B18,Setup!$B$16:$B$33,"Stale pipeline"))*100))))</f>
        <v/>
      </c>
      <c r="O18" s="12">
        <f>IF(ISNUMBER(I18),SUMIFS(Setup!$D$16:$D$33,Setup!$A$16:$A$33,$B18,Setup!$B$16:$B$33,"Quota attainment"),0)</f>
        <v/>
      </c>
      <c r="P18" s="12">
        <f>IF(ISNUMBER(J18),SUMIFS(Setup!$D$16:$D$33,Setup!$A$16:$A$33,$B18,Setup!$B$16:$B$33,"Pipeline created"),0)</f>
        <v/>
      </c>
      <c r="Q18" s="12">
        <f>IF(ISNUMBER(K18),SUMIFS(Setup!$D$16:$D$33,Setup!$A$16:$A$33,$B18,Setup!$B$16:$B$33,"Stage conversion"),0)</f>
        <v/>
      </c>
      <c r="R18" s="12">
        <f>IF(ISNUMBER(L18),SUMIFS(Setup!$D$16:$D$33,Setup!$A$16:$A$33,$B18,Setup!$B$16:$B$33,"Win rate"),0)</f>
        <v/>
      </c>
      <c r="S18" s="12">
        <f>IF(ISNUMBER(M18),SUMIFS(Setup!$D$16:$D$33,Setup!$A$16:$A$33,$B18,Setup!$B$16:$B$33,"Forecast accuracy"),0)</f>
        <v/>
      </c>
      <c r="T18" s="12">
        <f>IF(ISNUMBER(N18),SUMIFS(Setup!$D$16:$D$33,Setup!$A$16:$A$33,$B18,Setup!$B$16:$B$33,"Stale pipeline"),0)</f>
        <v/>
      </c>
      <c r="U18" s="16">
        <f>IF(ISNUMBER(I18),O18*I18,0)</f>
        <v/>
      </c>
      <c r="V18" s="16">
        <f>IF(ISNUMBER(J18),P18*J18,0)</f>
        <v/>
      </c>
      <c r="W18" s="16">
        <f>IF(ISNUMBER(K18),Q18*K18,0)</f>
        <v/>
      </c>
      <c r="X18" s="16">
        <f>IF(ISNUMBER(L18),R18*L18,0)</f>
        <v/>
      </c>
      <c r="Y18" s="16">
        <f>IF(ISNUMBER(M18),S18*M18,0)</f>
        <v/>
      </c>
      <c r="Z18" s="16">
        <f>IF(ISNUMBER(N18),T18*N18,0)</f>
        <v/>
      </c>
      <c r="AA18" s="12">
        <f>SUM(O18:T18)</f>
        <v/>
      </c>
      <c r="AB18" s="16">
        <f>IF(OR(A18="",AA18&lt;=0),"",SUM(U18:Z18)/AA18)</f>
        <v/>
      </c>
      <c r="AC18" s="16">
        <f>IF(AND(ISNUMBER(I18),$AA18&gt;0),O18*MAX(0,100-I18)/$AA18,0)</f>
        <v/>
      </c>
      <c r="AD18" s="16">
        <f>IF(AND(ISNUMBER(J18),$AA18&gt;0),P18*MAX(0,100-J18)/$AA18,0)</f>
        <v/>
      </c>
      <c r="AE18" s="16">
        <f>IF(AND(ISNUMBER(K18),$AA18&gt;0),Q18*MAX(0,100-K18)/$AA18,0)</f>
        <v/>
      </c>
      <c r="AF18" s="16">
        <f>IF(AND(ISNUMBER(L18),$AA18&gt;0),R18*MAX(0,100-L18)/$AA18,0)</f>
        <v/>
      </c>
      <c r="AG18" s="16">
        <f>IF(AND(ISNUMBER(M18),$AA18&gt;0),S18*MAX(0,100-M18)/$AA18,0)</f>
        <v/>
      </c>
      <c r="AH18" s="16">
        <f>IF(AND(ISNUMBER(N18),$AA18&gt;0),T18*MAX(0,100-N18)/$AA18,0)</f>
        <v/>
      </c>
      <c r="AI18" s="13">
        <f>IF(AB18="","",IF(MAX(AC18:AH18)&lt;=0,"All at or above target",INDEX($AC$3:$AH$3,MATCH(MAX(AC18:AH18),AC18:AH18,0))))</f>
        <v/>
      </c>
      <c r="AJ18" s="13">
        <f>IF(AB18="","",IF(AB18&gt;=Setup!$B$10,Setup!$A$10,IF(AB18&gt;=Setup!$B$11,Setup!$A$11,IF(AB18&gt;=Setup!$B$12,Setup!$A$12,Setup!$A$13))))</f>
        <v/>
      </c>
      <c r="AK18" s="12">
        <f>IF(AB18="","",COUNTIF(AB$5:AB$34,"&gt;"&amp;AB18)+1)</f>
        <v/>
      </c>
      <c r="AL18" s="12">
        <f>IF(C18="","",COUNTIF(C$5:C$34,"&gt;"&amp;C18)+1)</f>
        <v/>
      </c>
      <c r="AM18" s="13">
        <f>IF(G18="","",IF(Actuals!B18&gt;Actuals!H18,"Under-called",IF(Actuals!B18&lt;Actuals!H18,"Over-called","Exact")))</f>
        <v/>
      </c>
    </row>
    <row r="19">
      <c r="A19" s="13">
        <f>IF(Reps!A19="","",Reps!A19)</f>
        <v/>
      </c>
      <c r="B19" s="13">
        <f>IF(A19="","",Reps!C19)</f>
        <v/>
      </c>
      <c r="C19" s="15">
        <f>IF(OR(A19="",N(Reps!E19)&lt;=0,Actuals!B19=""),"",Actuals!B19/Reps!E19)</f>
        <v/>
      </c>
      <c r="D19" s="15">
        <f>IF(OR(A19="",N(Reps!F19)&lt;=0,Actuals!C19=""),"",Actuals!C19/Reps!F19)</f>
        <v/>
      </c>
      <c r="E19" s="15">
        <f>IF(OR(A19="",N(Actuals!D19)&lt;=0,Actuals!E19=""),"",Actuals!E19/Actuals!D19)</f>
        <v/>
      </c>
      <c r="F19" s="15">
        <f>IF(OR(A19="",N(Actuals!F19)+N(Actuals!G19)&lt;=0),"",N(Actuals!F19)/(N(Actuals!F19)+N(Actuals!G19)))</f>
        <v/>
      </c>
      <c r="G19" s="15">
        <f>IF(OR(A19="",Actuals!H19=""),"",IF(N(Actuals!B19)&lt;=0,IF(N(Actuals!H19)&gt;0,0,""),MAX(0,1-ABS(Actuals!B19-Actuals!H19)/Actuals!B19)))</f>
        <v/>
      </c>
      <c r="H19" s="15">
        <f>IF(OR(A19="",N(Actuals!I19)&lt;=0,Actuals!J19=""),"",Actuals!J19/Actuals!I19)</f>
        <v/>
      </c>
      <c r="I19" s="16">
        <f>IF(OR($A19="",C19=""),"",IF(SUMIFS(Setup!$F$16:$F$33,Setup!$A$16:$A$33,$B19,Setup!$B$16:$B$33,"Quota attainment")=SUMIFS(Setup!$E$16:$E$33,Setup!$A$16:$A$33,$B19,Setup!$B$16:$B$33,"Quota attainment"),"",MAX(0,MIN(SUMIFS(Setup!$G$16:$G$33,Setup!$A$16:$A$33,$B19,Setup!$B$16:$B$33,"Quota attainment"),(C19-SUMIFS(Setup!$E$16:$E$33,Setup!$A$16:$A$33,$B19,Setup!$B$16:$B$33,"Quota attainment"))/(SUMIFS(Setup!$F$16:$F$33,Setup!$A$16:$A$33,$B19,Setup!$B$16:$B$33,"Quota attainment")-SUMIFS(Setup!$E$16:$E$33,Setup!$A$16:$A$33,$B19,Setup!$B$16:$B$33,"Quota attainment"))*100))))</f>
        <v/>
      </c>
      <c r="J19" s="16">
        <f>IF(OR($A19="",D19=""),"",IF(SUMIFS(Setup!$F$16:$F$33,Setup!$A$16:$A$33,$B19,Setup!$B$16:$B$33,"Pipeline created")=SUMIFS(Setup!$E$16:$E$33,Setup!$A$16:$A$33,$B19,Setup!$B$16:$B$33,"Pipeline created"),"",MAX(0,MIN(SUMIFS(Setup!$G$16:$G$33,Setup!$A$16:$A$33,$B19,Setup!$B$16:$B$33,"Pipeline created"),(D19-SUMIFS(Setup!$E$16:$E$33,Setup!$A$16:$A$33,$B19,Setup!$B$16:$B$33,"Pipeline created"))/(SUMIFS(Setup!$F$16:$F$33,Setup!$A$16:$A$33,$B19,Setup!$B$16:$B$33,"Pipeline created")-SUMIFS(Setup!$E$16:$E$33,Setup!$A$16:$A$33,$B19,Setup!$B$16:$B$33,"Pipeline created"))*100))))</f>
        <v/>
      </c>
      <c r="K19" s="16">
        <f>IF(OR($A19="",E19=""),"",IF(SUMIFS(Setup!$F$16:$F$33,Setup!$A$16:$A$33,$B19,Setup!$B$16:$B$33,"Stage conversion")=SUMIFS(Setup!$E$16:$E$33,Setup!$A$16:$A$33,$B19,Setup!$B$16:$B$33,"Stage conversion"),"",MAX(0,MIN(SUMIFS(Setup!$G$16:$G$33,Setup!$A$16:$A$33,$B19,Setup!$B$16:$B$33,"Stage conversion"),(E19-SUMIFS(Setup!$E$16:$E$33,Setup!$A$16:$A$33,$B19,Setup!$B$16:$B$33,"Stage conversion"))/(SUMIFS(Setup!$F$16:$F$33,Setup!$A$16:$A$33,$B19,Setup!$B$16:$B$33,"Stage conversion")-SUMIFS(Setup!$E$16:$E$33,Setup!$A$16:$A$33,$B19,Setup!$B$16:$B$33,"Stage conversion"))*100))))</f>
        <v/>
      </c>
      <c r="L19" s="16">
        <f>IF(OR($A19="",F19=""),"",IF(SUMIFS(Setup!$F$16:$F$33,Setup!$A$16:$A$33,$B19,Setup!$B$16:$B$33,"Win rate")=SUMIFS(Setup!$E$16:$E$33,Setup!$A$16:$A$33,$B19,Setup!$B$16:$B$33,"Win rate"),"",MAX(0,MIN(SUMIFS(Setup!$G$16:$G$33,Setup!$A$16:$A$33,$B19,Setup!$B$16:$B$33,"Win rate"),(F19-SUMIFS(Setup!$E$16:$E$33,Setup!$A$16:$A$33,$B19,Setup!$B$16:$B$33,"Win rate"))/(SUMIFS(Setup!$F$16:$F$33,Setup!$A$16:$A$33,$B19,Setup!$B$16:$B$33,"Win rate")-SUMIFS(Setup!$E$16:$E$33,Setup!$A$16:$A$33,$B19,Setup!$B$16:$B$33,"Win rate"))*100))))</f>
        <v/>
      </c>
      <c r="M19" s="16">
        <f>IF(OR($A19="",G19=""),"",IF(SUMIFS(Setup!$F$16:$F$33,Setup!$A$16:$A$33,$B19,Setup!$B$16:$B$33,"Forecast accuracy")=SUMIFS(Setup!$E$16:$E$33,Setup!$A$16:$A$33,$B19,Setup!$B$16:$B$33,"Forecast accuracy"),"",MAX(0,MIN(SUMIFS(Setup!$G$16:$G$33,Setup!$A$16:$A$33,$B19,Setup!$B$16:$B$33,"Forecast accuracy"),(G19-SUMIFS(Setup!$E$16:$E$33,Setup!$A$16:$A$33,$B19,Setup!$B$16:$B$33,"Forecast accuracy"))/(SUMIFS(Setup!$F$16:$F$33,Setup!$A$16:$A$33,$B19,Setup!$B$16:$B$33,"Forecast accuracy")-SUMIFS(Setup!$E$16:$E$33,Setup!$A$16:$A$33,$B19,Setup!$B$16:$B$33,"Forecast accuracy"))*100))))</f>
        <v/>
      </c>
      <c r="N19" s="16">
        <f>IF(OR($A19="",H19=""),"",IF(SUMIFS(Setup!$F$16:$F$33,Setup!$A$16:$A$33,$B19,Setup!$B$16:$B$33,"Stale pipeline")=SUMIFS(Setup!$E$16:$E$33,Setup!$A$16:$A$33,$B19,Setup!$B$16:$B$33,"Stale pipeline"),"",MAX(0,MIN(SUMIFS(Setup!$G$16:$G$33,Setup!$A$16:$A$33,$B19,Setup!$B$16:$B$33,"Stale pipeline"),(H19-SUMIFS(Setup!$E$16:$E$33,Setup!$A$16:$A$33,$B19,Setup!$B$16:$B$33,"Stale pipeline"))/(SUMIFS(Setup!$F$16:$F$33,Setup!$A$16:$A$33,$B19,Setup!$B$16:$B$33,"Stale pipeline")-SUMIFS(Setup!$E$16:$E$33,Setup!$A$16:$A$33,$B19,Setup!$B$16:$B$33,"Stale pipeline"))*100))))</f>
        <v/>
      </c>
      <c r="O19" s="12">
        <f>IF(ISNUMBER(I19),SUMIFS(Setup!$D$16:$D$33,Setup!$A$16:$A$33,$B19,Setup!$B$16:$B$33,"Quota attainment"),0)</f>
        <v/>
      </c>
      <c r="P19" s="12">
        <f>IF(ISNUMBER(J19),SUMIFS(Setup!$D$16:$D$33,Setup!$A$16:$A$33,$B19,Setup!$B$16:$B$33,"Pipeline created"),0)</f>
        <v/>
      </c>
      <c r="Q19" s="12">
        <f>IF(ISNUMBER(K19),SUMIFS(Setup!$D$16:$D$33,Setup!$A$16:$A$33,$B19,Setup!$B$16:$B$33,"Stage conversion"),0)</f>
        <v/>
      </c>
      <c r="R19" s="12">
        <f>IF(ISNUMBER(L19),SUMIFS(Setup!$D$16:$D$33,Setup!$A$16:$A$33,$B19,Setup!$B$16:$B$33,"Win rate"),0)</f>
        <v/>
      </c>
      <c r="S19" s="12">
        <f>IF(ISNUMBER(M19),SUMIFS(Setup!$D$16:$D$33,Setup!$A$16:$A$33,$B19,Setup!$B$16:$B$33,"Forecast accuracy"),0)</f>
        <v/>
      </c>
      <c r="T19" s="12">
        <f>IF(ISNUMBER(N19),SUMIFS(Setup!$D$16:$D$33,Setup!$A$16:$A$33,$B19,Setup!$B$16:$B$33,"Stale pipeline"),0)</f>
        <v/>
      </c>
      <c r="U19" s="16">
        <f>IF(ISNUMBER(I19),O19*I19,0)</f>
        <v/>
      </c>
      <c r="V19" s="16">
        <f>IF(ISNUMBER(J19),P19*J19,0)</f>
        <v/>
      </c>
      <c r="W19" s="16">
        <f>IF(ISNUMBER(K19),Q19*K19,0)</f>
        <v/>
      </c>
      <c r="X19" s="16">
        <f>IF(ISNUMBER(L19),R19*L19,0)</f>
        <v/>
      </c>
      <c r="Y19" s="16">
        <f>IF(ISNUMBER(M19),S19*M19,0)</f>
        <v/>
      </c>
      <c r="Z19" s="16">
        <f>IF(ISNUMBER(N19),T19*N19,0)</f>
        <v/>
      </c>
      <c r="AA19" s="12">
        <f>SUM(O19:T19)</f>
        <v/>
      </c>
      <c r="AB19" s="16">
        <f>IF(OR(A19="",AA19&lt;=0),"",SUM(U19:Z19)/AA19)</f>
        <v/>
      </c>
      <c r="AC19" s="16">
        <f>IF(AND(ISNUMBER(I19),$AA19&gt;0),O19*MAX(0,100-I19)/$AA19,0)</f>
        <v/>
      </c>
      <c r="AD19" s="16">
        <f>IF(AND(ISNUMBER(J19),$AA19&gt;0),P19*MAX(0,100-J19)/$AA19,0)</f>
        <v/>
      </c>
      <c r="AE19" s="16">
        <f>IF(AND(ISNUMBER(K19),$AA19&gt;0),Q19*MAX(0,100-K19)/$AA19,0)</f>
        <v/>
      </c>
      <c r="AF19" s="16">
        <f>IF(AND(ISNUMBER(L19),$AA19&gt;0),R19*MAX(0,100-L19)/$AA19,0)</f>
        <v/>
      </c>
      <c r="AG19" s="16">
        <f>IF(AND(ISNUMBER(M19),$AA19&gt;0),S19*MAX(0,100-M19)/$AA19,0)</f>
        <v/>
      </c>
      <c r="AH19" s="16">
        <f>IF(AND(ISNUMBER(N19),$AA19&gt;0),T19*MAX(0,100-N19)/$AA19,0)</f>
        <v/>
      </c>
      <c r="AI19" s="13">
        <f>IF(AB19="","",IF(MAX(AC19:AH19)&lt;=0,"All at or above target",INDEX($AC$3:$AH$3,MATCH(MAX(AC19:AH19),AC19:AH19,0))))</f>
        <v/>
      </c>
      <c r="AJ19" s="13">
        <f>IF(AB19="","",IF(AB19&gt;=Setup!$B$10,Setup!$A$10,IF(AB19&gt;=Setup!$B$11,Setup!$A$11,IF(AB19&gt;=Setup!$B$12,Setup!$A$12,Setup!$A$13))))</f>
        <v/>
      </c>
      <c r="AK19" s="12">
        <f>IF(AB19="","",COUNTIF(AB$5:AB$34,"&gt;"&amp;AB19)+1)</f>
        <v/>
      </c>
      <c r="AL19" s="12">
        <f>IF(C19="","",COUNTIF(C$5:C$34,"&gt;"&amp;C19)+1)</f>
        <v/>
      </c>
      <c r="AM19" s="13">
        <f>IF(G19="","",IF(Actuals!B19&gt;Actuals!H19,"Under-called",IF(Actuals!B19&lt;Actuals!H19,"Over-called","Exact")))</f>
        <v/>
      </c>
    </row>
    <row r="20">
      <c r="A20" s="13">
        <f>IF(Reps!A20="","",Reps!A20)</f>
        <v/>
      </c>
      <c r="B20" s="13">
        <f>IF(A20="","",Reps!C20)</f>
        <v/>
      </c>
      <c r="C20" s="15">
        <f>IF(OR(A20="",N(Reps!E20)&lt;=0,Actuals!B20=""),"",Actuals!B20/Reps!E20)</f>
        <v/>
      </c>
      <c r="D20" s="15">
        <f>IF(OR(A20="",N(Reps!F20)&lt;=0,Actuals!C20=""),"",Actuals!C20/Reps!F20)</f>
        <v/>
      </c>
      <c r="E20" s="15">
        <f>IF(OR(A20="",N(Actuals!D20)&lt;=0,Actuals!E20=""),"",Actuals!E20/Actuals!D20)</f>
        <v/>
      </c>
      <c r="F20" s="15">
        <f>IF(OR(A20="",N(Actuals!F20)+N(Actuals!G20)&lt;=0),"",N(Actuals!F20)/(N(Actuals!F20)+N(Actuals!G20)))</f>
        <v/>
      </c>
      <c r="G20" s="15">
        <f>IF(OR(A20="",Actuals!H20=""),"",IF(N(Actuals!B20)&lt;=0,IF(N(Actuals!H20)&gt;0,0,""),MAX(0,1-ABS(Actuals!B20-Actuals!H20)/Actuals!B20)))</f>
        <v/>
      </c>
      <c r="H20" s="15">
        <f>IF(OR(A20="",N(Actuals!I20)&lt;=0,Actuals!J20=""),"",Actuals!J20/Actuals!I20)</f>
        <v/>
      </c>
      <c r="I20" s="16">
        <f>IF(OR($A20="",C20=""),"",IF(SUMIFS(Setup!$F$16:$F$33,Setup!$A$16:$A$33,$B20,Setup!$B$16:$B$33,"Quota attainment")=SUMIFS(Setup!$E$16:$E$33,Setup!$A$16:$A$33,$B20,Setup!$B$16:$B$33,"Quota attainment"),"",MAX(0,MIN(SUMIFS(Setup!$G$16:$G$33,Setup!$A$16:$A$33,$B20,Setup!$B$16:$B$33,"Quota attainment"),(C20-SUMIFS(Setup!$E$16:$E$33,Setup!$A$16:$A$33,$B20,Setup!$B$16:$B$33,"Quota attainment"))/(SUMIFS(Setup!$F$16:$F$33,Setup!$A$16:$A$33,$B20,Setup!$B$16:$B$33,"Quota attainment")-SUMIFS(Setup!$E$16:$E$33,Setup!$A$16:$A$33,$B20,Setup!$B$16:$B$33,"Quota attainment"))*100))))</f>
        <v/>
      </c>
      <c r="J20" s="16">
        <f>IF(OR($A20="",D20=""),"",IF(SUMIFS(Setup!$F$16:$F$33,Setup!$A$16:$A$33,$B20,Setup!$B$16:$B$33,"Pipeline created")=SUMIFS(Setup!$E$16:$E$33,Setup!$A$16:$A$33,$B20,Setup!$B$16:$B$33,"Pipeline created"),"",MAX(0,MIN(SUMIFS(Setup!$G$16:$G$33,Setup!$A$16:$A$33,$B20,Setup!$B$16:$B$33,"Pipeline created"),(D20-SUMIFS(Setup!$E$16:$E$33,Setup!$A$16:$A$33,$B20,Setup!$B$16:$B$33,"Pipeline created"))/(SUMIFS(Setup!$F$16:$F$33,Setup!$A$16:$A$33,$B20,Setup!$B$16:$B$33,"Pipeline created")-SUMIFS(Setup!$E$16:$E$33,Setup!$A$16:$A$33,$B20,Setup!$B$16:$B$33,"Pipeline created"))*100))))</f>
        <v/>
      </c>
      <c r="K20" s="16">
        <f>IF(OR($A20="",E20=""),"",IF(SUMIFS(Setup!$F$16:$F$33,Setup!$A$16:$A$33,$B20,Setup!$B$16:$B$33,"Stage conversion")=SUMIFS(Setup!$E$16:$E$33,Setup!$A$16:$A$33,$B20,Setup!$B$16:$B$33,"Stage conversion"),"",MAX(0,MIN(SUMIFS(Setup!$G$16:$G$33,Setup!$A$16:$A$33,$B20,Setup!$B$16:$B$33,"Stage conversion"),(E20-SUMIFS(Setup!$E$16:$E$33,Setup!$A$16:$A$33,$B20,Setup!$B$16:$B$33,"Stage conversion"))/(SUMIFS(Setup!$F$16:$F$33,Setup!$A$16:$A$33,$B20,Setup!$B$16:$B$33,"Stage conversion")-SUMIFS(Setup!$E$16:$E$33,Setup!$A$16:$A$33,$B20,Setup!$B$16:$B$33,"Stage conversion"))*100))))</f>
        <v/>
      </c>
      <c r="L20" s="16">
        <f>IF(OR($A20="",F20=""),"",IF(SUMIFS(Setup!$F$16:$F$33,Setup!$A$16:$A$33,$B20,Setup!$B$16:$B$33,"Win rate")=SUMIFS(Setup!$E$16:$E$33,Setup!$A$16:$A$33,$B20,Setup!$B$16:$B$33,"Win rate"),"",MAX(0,MIN(SUMIFS(Setup!$G$16:$G$33,Setup!$A$16:$A$33,$B20,Setup!$B$16:$B$33,"Win rate"),(F20-SUMIFS(Setup!$E$16:$E$33,Setup!$A$16:$A$33,$B20,Setup!$B$16:$B$33,"Win rate"))/(SUMIFS(Setup!$F$16:$F$33,Setup!$A$16:$A$33,$B20,Setup!$B$16:$B$33,"Win rate")-SUMIFS(Setup!$E$16:$E$33,Setup!$A$16:$A$33,$B20,Setup!$B$16:$B$33,"Win rate"))*100))))</f>
        <v/>
      </c>
      <c r="M20" s="16">
        <f>IF(OR($A20="",G20=""),"",IF(SUMIFS(Setup!$F$16:$F$33,Setup!$A$16:$A$33,$B20,Setup!$B$16:$B$33,"Forecast accuracy")=SUMIFS(Setup!$E$16:$E$33,Setup!$A$16:$A$33,$B20,Setup!$B$16:$B$33,"Forecast accuracy"),"",MAX(0,MIN(SUMIFS(Setup!$G$16:$G$33,Setup!$A$16:$A$33,$B20,Setup!$B$16:$B$33,"Forecast accuracy"),(G20-SUMIFS(Setup!$E$16:$E$33,Setup!$A$16:$A$33,$B20,Setup!$B$16:$B$33,"Forecast accuracy"))/(SUMIFS(Setup!$F$16:$F$33,Setup!$A$16:$A$33,$B20,Setup!$B$16:$B$33,"Forecast accuracy")-SUMIFS(Setup!$E$16:$E$33,Setup!$A$16:$A$33,$B20,Setup!$B$16:$B$33,"Forecast accuracy"))*100))))</f>
        <v/>
      </c>
      <c r="N20" s="16">
        <f>IF(OR($A20="",H20=""),"",IF(SUMIFS(Setup!$F$16:$F$33,Setup!$A$16:$A$33,$B20,Setup!$B$16:$B$33,"Stale pipeline")=SUMIFS(Setup!$E$16:$E$33,Setup!$A$16:$A$33,$B20,Setup!$B$16:$B$33,"Stale pipeline"),"",MAX(0,MIN(SUMIFS(Setup!$G$16:$G$33,Setup!$A$16:$A$33,$B20,Setup!$B$16:$B$33,"Stale pipeline"),(H20-SUMIFS(Setup!$E$16:$E$33,Setup!$A$16:$A$33,$B20,Setup!$B$16:$B$33,"Stale pipeline"))/(SUMIFS(Setup!$F$16:$F$33,Setup!$A$16:$A$33,$B20,Setup!$B$16:$B$33,"Stale pipeline")-SUMIFS(Setup!$E$16:$E$33,Setup!$A$16:$A$33,$B20,Setup!$B$16:$B$33,"Stale pipeline"))*100))))</f>
        <v/>
      </c>
      <c r="O20" s="12">
        <f>IF(ISNUMBER(I20),SUMIFS(Setup!$D$16:$D$33,Setup!$A$16:$A$33,$B20,Setup!$B$16:$B$33,"Quota attainment"),0)</f>
        <v/>
      </c>
      <c r="P20" s="12">
        <f>IF(ISNUMBER(J20),SUMIFS(Setup!$D$16:$D$33,Setup!$A$16:$A$33,$B20,Setup!$B$16:$B$33,"Pipeline created"),0)</f>
        <v/>
      </c>
      <c r="Q20" s="12">
        <f>IF(ISNUMBER(K20),SUMIFS(Setup!$D$16:$D$33,Setup!$A$16:$A$33,$B20,Setup!$B$16:$B$33,"Stage conversion"),0)</f>
        <v/>
      </c>
      <c r="R20" s="12">
        <f>IF(ISNUMBER(L20),SUMIFS(Setup!$D$16:$D$33,Setup!$A$16:$A$33,$B20,Setup!$B$16:$B$33,"Win rate"),0)</f>
        <v/>
      </c>
      <c r="S20" s="12">
        <f>IF(ISNUMBER(M20),SUMIFS(Setup!$D$16:$D$33,Setup!$A$16:$A$33,$B20,Setup!$B$16:$B$33,"Forecast accuracy"),0)</f>
        <v/>
      </c>
      <c r="T20" s="12">
        <f>IF(ISNUMBER(N20),SUMIFS(Setup!$D$16:$D$33,Setup!$A$16:$A$33,$B20,Setup!$B$16:$B$33,"Stale pipeline"),0)</f>
        <v/>
      </c>
      <c r="U20" s="16">
        <f>IF(ISNUMBER(I20),O20*I20,0)</f>
        <v/>
      </c>
      <c r="V20" s="16">
        <f>IF(ISNUMBER(J20),P20*J20,0)</f>
        <v/>
      </c>
      <c r="W20" s="16">
        <f>IF(ISNUMBER(K20),Q20*K20,0)</f>
        <v/>
      </c>
      <c r="X20" s="16">
        <f>IF(ISNUMBER(L20),R20*L20,0)</f>
        <v/>
      </c>
      <c r="Y20" s="16">
        <f>IF(ISNUMBER(M20),S20*M20,0)</f>
        <v/>
      </c>
      <c r="Z20" s="16">
        <f>IF(ISNUMBER(N20),T20*N20,0)</f>
        <v/>
      </c>
      <c r="AA20" s="12">
        <f>SUM(O20:T20)</f>
        <v/>
      </c>
      <c r="AB20" s="16">
        <f>IF(OR(A20="",AA20&lt;=0),"",SUM(U20:Z20)/AA20)</f>
        <v/>
      </c>
      <c r="AC20" s="16">
        <f>IF(AND(ISNUMBER(I20),$AA20&gt;0),O20*MAX(0,100-I20)/$AA20,0)</f>
        <v/>
      </c>
      <c r="AD20" s="16">
        <f>IF(AND(ISNUMBER(J20),$AA20&gt;0),P20*MAX(0,100-J20)/$AA20,0)</f>
        <v/>
      </c>
      <c r="AE20" s="16">
        <f>IF(AND(ISNUMBER(K20),$AA20&gt;0),Q20*MAX(0,100-K20)/$AA20,0)</f>
        <v/>
      </c>
      <c r="AF20" s="16">
        <f>IF(AND(ISNUMBER(L20),$AA20&gt;0),R20*MAX(0,100-L20)/$AA20,0)</f>
        <v/>
      </c>
      <c r="AG20" s="16">
        <f>IF(AND(ISNUMBER(M20),$AA20&gt;0),S20*MAX(0,100-M20)/$AA20,0)</f>
        <v/>
      </c>
      <c r="AH20" s="16">
        <f>IF(AND(ISNUMBER(N20),$AA20&gt;0),T20*MAX(0,100-N20)/$AA20,0)</f>
        <v/>
      </c>
      <c r="AI20" s="13">
        <f>IF(AB20="","",IF(MAX(AC20:AH20)&lt;=0,"All at or above target",INDEX($AC$3:$AH$3,MATCH(MAX(AC20:AH20),AC20:AH20,0))))</f>
        <v/>
      </c>
      <c r="AJ20" s="13">
        <f>IF(AB20="","",IF(AB20&gt;=Setup!$B$10,Setup!$A$10,IF(AB20&gt;=Setup!$B$11,Setup!$A$11,IF(AB20&gt;=Setup!$B$12,Setup!$A$12,Setup!$A$13))))</f>
        <v/>
      </c>
      <c r="AK20" s="12">
        <f>IF(AB20="","",COUNTIF(AB$5:AB$34,"&gt;"&amp;AB20)+1)</f>
        <v/>
      </c>
      <c r="AL20" s="12">
        <f>IF(C20="","",COUNTIF(C$5:C$34,"&gt;"&amp;C20)+1)</f>
        <v/>
      </c>
      <c r="AM20" s="13">
        <f>IF(G20="","",IF(Actuals!B20&gt;Actuals!H20,"Under-called",IF(Actuals!B20&lt;Actuals!H20,"Over-called","Exact")))</f>
        <v/>
      </c>
    </row>
    <row r="21">
      <c r="A21" s="13">
        <f>IF(Reps!A21="","",Reps!A21)</f>
        <v/>
      </c>
      <c r="B21" s="13">
        <f>IF(A21="","",Reps!C21)</f>
        <v/>
      </c>
      <c r="C21" s="15">
        <f>IF(OR(A21="",N(Reps!E21)&lt;=0,Actuals!B21=""),"",Actuals!B21/Reps!E21)</f>
        <v/>
      </c>
      <c r="D21" s="15">
        <f>IF(OR(A21="",N(Reps!F21)&lt;=0,Actuals!C21=""),"",Actuals!C21/Reps!F21)</f>
        <v/>
      </c>
      <c r="E21" s="15">
        <f>IF(OR(A21="",N(Actuals!D21)&lt;=0,Actuals!E21=""),"",Actuals!E21/Actuals!D21)</f>
        <v/>
      </c>
      <c r="F21" s="15">
        <f>IF(OR(A21="",N(Actuals!F21)+N(Actuals!G21)&lt;=0),"",N(Actuals!F21)/(N(Actuals!F21)+N(Actuals!G21)))</f>
        <v/>
      </c>
      <c r="G21" s="15">
        <f>IF(OR(A21="",Actuals!H21=""),"",IF(N(Actuals!B21)&lt;=0,IF(N(Actuals!H21)&gt;0,0,""),MAX(0,1-ABS(Actuals!B21-Actuals!H21)/Actuals!B21)))</f>
        <v/>
      </c>
      <c r="H21" s="15">
        <f>IF(OR(A21="",N(Actuals!I21)&lt;=0,Actuals!J21=""),"",Actuals!J21/Actuals!I21)</f>
        <v/>
      </c>
      <c r="I21" s="16">
        <f>IF(OR($A21="",C21=""),"",IF(SUMIFS(Setup!$F$16:$F$33,Setup!$A$16:$A$33,$B21,Setup!$B$16:$B$33,"Quota attainment")=SUMIFS(Setup!$E$16:$E$33,Setup!$A$16:$A$33,$B21,Setup!$B$16:$B$33,"Quota attainment"),"",MAX(0,MIN(SUMIFS(Setup!$G$16:$G$33,Setup!$A$16:$A$33,$B21,Setup!$B$16:$B$33,"Quota attainment"),(C21-SUMIFS(Setup!$E$16:$E$33,Setup!$A$16:$A$33,$B21,Setup!$B$16:$B$33,"Quota attainment"))/(SUMIFS(Setup!$F$16:$F$33,Setup!$A$16:$A$33,$B21,Setup!$B$16:$B$33,"Quota attainment")-SUMIFS(Setup!$E$16:$E$33,Setup!$A$16:$A$33,$B21,Setup!$B$16:$B$33,"Quota attainment"))*100))))</f>
        <v/>
      </c>
      <c r="J21" s="16">
        <f>IF(OR($A21="",D21=""),"",IF(SUMIFS(Setup!$F$16:$F$33,Setup!$A$16:$A$33,$B21,Setup!$B$16:$B$33,"Pipeline created")=SUMIFS(Setup!$E$16:$E$33,Setup!$A$16:$A$33,$B21,Setup!$B$16:$B$33,"Pipeline created"),"",MAX(0,MIN(SUMIFS(Setup!$G$16:$G$33,Setup!$A$16:$A$33,$B21,Setup!$B$16:$B$33,"Pipeline created"),(D21-SUMIFS(Setup!$E$16:$E$33,Setup!$A$16:$A$33,$B21,Setup!$B$16:$B$33,"Pipeline created"))/(SUMIFS(Setup!$F$16:$F$33,Setup!$A$16:$A$33,$B21,Setup!$B$16:$B$33,"Pipeline created")-SUMIFS(Setup!$E$16:$E$33,Setup!$A$16:$A$33,$B21,Setup!$B$16:$B$33,"Pipeline created"))*100))))</f>
        <v/>
      </c>
      <c r="K21" s="16">
        <f>IF(OR($A21="",E21=""),"",IF(SUMIFS(Setup!$F$16:$F$33,Setup!$A$16:$A$33,$B21,Setup!$B$16:$B$33,"Stage conversion")=SUMIFS(Setup!$E$16:$E$33,Setup!$A$16:$A$33,$B21,Setup!$B$16:$B$33,"Stage conversion"),"",MAX(0,MIN(SUMIFS(Setup!$G$16:$G$33,Setup!$A$16:$A$33,$B21,Setup!$B$16:$B$33,"Stage conversion"),(E21-SUMIFS(Setup!$E$16:$E$33,Setup!$A$16:$A$33,$B21,Setup!$B$16:$B$33,"Stage conversion"))/(SUMIFS(Setup!$F$16:$F$33,Setup!$A$16:$A$33,$B21,Setup!$B$16:$B$33,"Stage conversion")-SUMIFS(Setup!$E$16:$E$33,Setup!$A$16:$A$33,$B21,Setup!$B$16:$B$33,"Stage conversion"))*100))))</f>
        <v/>
      </c>
      <c r="L21" s="16">
        <f>IF(OR($A21="",F21=""),"",IF(SUMIFS(Setup!$F$16:$F$33,Setup!$A$16:$A$33,$B21,Setup!$B$16:$B$33,"Win rate")=SUMIFS(Setup!$E$16:$E$33,Setup!$A$16:$A$33,$B21,Setup!$B$16:$B$33,"Win rate"),"",MAX(0,MIN(SUMIFS(Setup!$G$16:$G$33,Setup!$A$16:$A$33,$B21,Setup!$B$16:$B$33,"Win rate"),(F21-SUMIFS(Setup!$E$16:$E$33,Setup!$A$16:$A$33,$B21,Setup!$B$16:$B$33,"Win rate"))/(SUMIFS(Setup!$F$16:$F$33,Setup!$A$16:$A$33,$B21,Setup!$B$16:$B$33,"Win rate")-SUMIFS(Setup!$E$16:$E$33,Setup!$A$16:$A$33,$B21,Setup!$B$16:$B$33,"Win rate"))*100))))</f>
        <v/>
      </c>
      <c r="M21" s="16">
        <f>IF(OR($A21="",G21=""),"",IF(SUMIFS(Setup!$F$16:$F$33,Setup!$A$16:$A$33,$B21,Setup!$B$16:$B$33,"Forecast accuracy")=SUMIFS(Setup!$E$16:$E$33,Setup!$A$16:$A$33,$B21,Setup!$B$16:$B$33,"Forecast accuracy"),"",MAX(0,MIN(SUMIFS(Setup!$G$16:$G$33,Setup!$A$16:$A$33,$B21,Setup!$B$16:$B$33,"Forecast accuracy"),(G21-SUMIFS(Setup!$E$16:$E$33,Setup!$A$16:$A$33,$B21,Setup!$B$16:$B$33,"Forecast accuracy"))/(SUMIFS(Setup!$F$16:$F$33,Setup!$A$16:$A$33,$B21,Setup!$B$16:$B$33,"Forecast accuracy")-SUMIFS(Setup!$E$16:$E$33,Setup!$A$16:$A$33,$B21,Setup!$B$16:$B$33,"Forecast accuracy"))*100))))</f>
        <v/>
      </c>
      <c r="N21" s="16">
        <f>IF(OR($A21="",H21=""),"",IF(SUMIFS(Setup!$F$16:$F$33,Setup!$A$16:$A$33,$B21,Setup!$B$16:$B$33,"Stale pipeline")=SUMIFS(Setup!$E$16:$E$33,Setup!$A$16:$A$33,$B21,Setup!$B$16:$B$33,"Stale pipeline"),"",MAX(0,MIN(SUMIFS(Setup!$G$16:$G$33,Setup!$A$16:$A$33,$B21,Setup!$B$16:$B$33,"Stale pipeline"),(H21-SUMIFS(Setup!$E$16:$E$33,Setup!$A$16:$A$33,$B21,Setup!$B$16:$B$33,"Stale pipeline"))/(SUMIFS(Setup!$F$16:$F$33,Setup!$A$16:$A$33,$B21,Setup!$B$16:$B$33,"Stale pipeline")-SUMIFS(Setup!$E$16:$E$33,Setup!$A$16:$A$33,$B21,Setup!$B$16:$B$33,"Stale pipeline"))*100))))</f>
        <v/>
      </c>
      <c r="O21" s="12">
        <f>IF(ISNUMBER(I21),SUMIFS(Setup!$D$16:$D$33,Setup!$A$16:$A$33,$B21,Setup!$B$16:$B$33,"Quota attainment"),0)</f>
        <v/>
      </c>
      <c r="P21" s="12">
        <f>IF(ISNUMBER(J21),SUMIFS(Setup!$D$16:$D$33,Setup!$A$16:$A$33,$B21,Setup!$B$16:$B$33,"Pipeline created"),0)</f>
        <v/>
      </c>
      <c r="Q21" s="12">
        <f>IF(ISNUMBER(K21),SUMIFS(Setup!$D$16:$D$33,Setup!$A$16:$A$33,$B21,Setup!$B$16:$B$33,"Stage conversion"),0)</f>
        <v/>
      </c>
      <c r="R21" s="12">
        <f>IF(ISNUMBER(L21),SUMIFS(Setup!$D$16:$D$33,Setup!$A$16:$A$33,$B21,Setup!$B$16:$B$33,"Win rate"),0)</f>
        <v/>
      </c>
      <c r="S21" s="12">
        <f>IF(ISNUMBER(M21),SUMIFS(Setup!$D$16:$D$33,Setup!$A$16:$A$33,$B21,Setup!$B$16:$B$33,"Forecast accuracy"),0)</f>
        <v/>
      </c>
      <c r="T21" s="12">
        <f>IF(ISNUMBER(N21),SUMIFS(Setup!$D$16:$D$33,Setup!$A$16:$A$33,$B21,Setup!$B$16:$B$33,"Stale pipeline"),0)</f>
        <v/>
      </c>
      <c r="U21" s="16">
        <f>IF(ISNUMBER(I21),O21*I21,0)</f>
        <v/>
      </c>
      <c r="V21" s="16">
        <f>IF(ISNUMBER(J21),P21*J21,0)</f>
        <v/>
      </c>
      <c r="W21" s="16">
        <f>IF(ISNUMBER(K21),Q21*K21,0)</f>
        <v/>
      </c>
      <c r="X21" s="16">
        <f>IF(ISNUMBER(L21),R21*L21,0)</f>
        <v/>
      </c>
      <c r="Y21" s="16">
        <f>IF(ISNUMBER(M21),S21*M21,0)</f>
        <v/>
      </c>
      <c r="Z21" s="16">
        <f>IF(ISNUMBER(N21),T21*N21,0)</f>
        <v/>
      </c>
      <c r="AA21" s="12">
        <f>SUM(O21:T21)</f>
        <v/>
      </c>
      <c r="AB21" s="16">
        <f>IF(OR(A21="",AA21&lt;=0),"",SUM(U21:Z21)/AA21)</f>
        <v/>
      </c>
      <c r="AC21" s="16">
        <f>IF(AND(ISNUMBER(I21),$AA21&gt;0),O21*MAX(0,100-I21)/$AA21,0)</f>
        <v/>
      </c>
      <c r="AD21" s="16">
        <f>IF(AND(ISNUMBER(J21),$AA21&gt;0),P21*MAX(0,100-J21)/$AA21,0)</f>
        <v/>
      </c>
      <c r="AE21" s="16">
        <f>IF(AND(ISNUMBER(K21),$AA21&gt;0),Q21*MAX(0,100-K21)/$AA21,0)</f>
        <v/>
      </c>
      <c r="AF21" s="16">
        <f>IF(AND(ISNUMBER(L21),$AA21&gt;0),R21*MAX(0,100-L21)/$AA21,0)</f>
        <v/>
      </c>
      <c r="AG21" s="16">
        <f>IF(AND(ISNUMBER(M21),$AA21&gt;0),S21*MAX(0,100-M21)/$AA21,0)</f>
        <v/>
      </c>
      <c r="AH21" s="16">
        <f>IF(AND(ISNUMBER(N21),$AA21&gt;0),T21*MAX(0,100-N21)/$AA21,0)</f>
        <v/>
      </c>
      <c r="AI21" s="13">
        <f>IF(AB21="","",IF(MAX(AC21:AH21)&lt;=0,"All at or above target",INDEX($AC$3:$AH$3,MATCH(MAX(AC21:AH21),AC21:AH21,0))))</f>
        <v/>
      </c>
      <c r="AJ21" s="13">
        <f>IF(AB21="","",IF(AB21&gt;=Setup!$B$10,Setup!$A$10,IF(AB21&gt;=Setup!$B$11,Setup!$A$11,IF(AB21&gt;=Setup!$B$12,Setup!$A$12,Setup!$A$13))))</f>
        <v/>
      </c>
      <c r="AK21" s="12">
        <f>IF(AB21="","",COUNTIF(AB$5:AB$34,"&gt;"&amp;AB21)+1)</f>
        <v/>
      </c>
      <c r="AL21" s="12">
        <f>IF(C21="","",COUNTIF(C$5:C$34,"&gt;"&amp;C21)+1)</f>
        <v/>
      </c>
      <c r="AM21" s="13">
        <f>IF(G21="","",IF(Actuals!B21&gt;Actuals!H21,"Under-called",IF(Actuals!B21&lt;Actuals!H21,"Over-called","Exact")))</f>
        <v/>
      </c>
    </row>
    <row r="22">
      <c r="A22" s="13">
        <f>IF(Reps!A22="","",Reps!A22)</f>
        <v/>
      </c>
      <c r="B22" s="13">
        <f>IF(A22="","",Reps!C22)</f>
        <v/>
      </c>
      <c r="C22" s="15">
        <f>IF(OR(A22="",N(Reps!E22)&lt;=0,Actuals!B22=""),"",Actuals!B22/Reps!E22)</f>
        <v/>
      </c>
      <c r="D22" s="15">
        <f>IF(OR(A22="",N(Reps!F22)&lt;=0,Actuals!C22=""),"",Actuals!C22/Reps!F22)</f>
        <v/>
      </c>
      <c r="E22" s="15">
        <f>IF(OR(A22="",N(Actuals!D22)&lt;=0,Actuals!E22=""),"",Actuals!E22/Actuals!D22)</f>
        <v/>
      </c>
      <c r="F22" s="15">
        <f>IF(OR(A22="",N(Actuals!F22)+N(Actuals!G22)&lt;=0),"",N(Actuals!F22)/(N(Actuals!F22)+N(Actuals!G22)))</f>
        <v/>
      </c>
      <c r="G22" s="15">
        <f>IF(OR(A22="",Actuals!H22=""),"",IF(N(Actuals!B22)&lt;=0,IF(N(Actuals!H22)&gt;0,0,""),MAX(0,1-ABS(Actuals!B22-Actuals!H22)/Actuals!B22)))</f>
        <v/>
      </c>
      <c r="H22" s="15">
        <f>IF(OR(A22="",N(Actuals!I22)&lt;=0,Actuals!J22=""),"",Actuals!J22/Actuals!I22)</f>
        <v/>
      </c>
      <c r="I22" s="16">
        <f>IF(OR($A22="",C22=""),"",IF(SUMIFS(Setup!$F$16:$F$33,Setup!$A$16:$A$33,$B22,Setup!$B$16:$B$33,"Quota attainment")=SUMIFS(Setup!$E$16:$E$33,Setup!$A$16:$A$33,$B22,Setup!$B$16:$B$33,"Quota attainment"),"",MAX(0,MIN(SUMIFS(Setup!$G$16:$G$33,Setup!$A$16:$A$33,$B22,Setup!$B$16:$B$33,"Quota attainment"),(C22-SUMIFS(Setup!$E$16:$E$33,Setup!$A$16:$A$33,$B22,Setup!$B$16:$B$33,"Quota attainment"))/(SUMIFS(Setup!$F$16:$F$33,Setup!$A$16:$A$33,$B22,Setup!$B$16:$B$33,"Quota attainment")-SUMIFS(Setup!$E$16:$E$33,Setup!$A$16:$A$33,$B22,Setup!$B$16:$B$33,"Quota attainment"))*100))))</f>
        <v/>
      </c>
      <c r="J22" s="16">
        <f>IF(OR($A22="",D22=""),"",IF(SUMIFS(Setup!$F$16:$F$33,Setup!$A$16:$A$33,$B22,Setup!$B$16:$B$33,"Pipeline created")=SUMIFS(Setup!$E$16:$E$33,Setup!$A$16:$A$33,$B22,Setup!$B$16:$B$33,"Pipeline created"),"",MAX(0,MIN(SUMIFS(Setup!$G$16:$G$33,Setup!$A$16:$A$33,$B22,Setup!$B$16:$B$33,"Pipeline created"),(D22-SUMIFS(Setup!$E$16:$E$33,Setup!$A$16:$A$33,$B22,Setup!$B$16:$B$33,"Pipeline created"))/(SUMIFS(Setup!$F$16:$F$33,Setup!$A$16:$A$33,$B22,Setup!$B$16:$B$33,"Pipeline created")-SUMIFS(Setup!$E$16:$E$33,Setup!$A$16:$A$33,$B22,Setup!$B$16:$B$33,"Pipeline created"))*100))))</f>
        <v/>
      </c>
      <c r="K22" s="16">
        <f>IF(OR($A22="",E22=""),"",IF(SUMIFS(Setup!$F$16:$F$33,Setup!$A$16:$A$33,$B22,Setup!$B$16:$B$33,"Stage conversion")=SUMIFS(Setup!$E$16:$E$33,Setup!$A$16:$A$33,$B22,Setup!$B$16:$B$33,"Stage conversion"),"",MAX(0,MIN(SUMIFS(Setup!$G$16:$G$33,Setup!$A$16:$A$33,$B22,Setup!$B$16:$B$33,"Stage conversion"),(E22-SUMIFS(Setup!$E$16:$E$33,Setup!$A$16:$A$33,$B22,Setup!$B$16:$B$33,"Stage conversion"))/(SUMIFS(Setup!$F$16:$F$33,Setup!$A$16:$A$33,$B22,Setup!$B$16:$B$33,"Stage conversion")-SUMIFS(Setup!$E$16:$E$33,Setup!$A$16:$A$33,$B22,Setup!$B$16:$B$33,"Stage conversion"))*100))))</f>
        <v/>
      </c>
      <c r="L22" s="16">
        <f>IF(OR($A22="",F22=""),"",IF(SUMIFS(Setup!$F$16:$F$33,Setup!$A$16:$A$33,$B22,Setup!$B$16:$B$33,"Win rate")=SUMIFS(Setup!$E$16:$E$33,Setup!$A$16:$A$33,$B22,Setup!$B$16:$B$33,"Win rate"),"",MAX(0,MIN(SUMIFS(Setup!$G$16:$G$33,Setup!$A$16:$A$33,$B22,Setup!$B$16:$B$33,"Win rate"),(F22-SUMIFS(Setup!$E$16:$E$33,Setup!$A$16:$A$33,$B22,Setup!$B$16:$B$33,"Win rate"))/(SUMIFS(Setup!$F$16:$F$33,Setup!$A$16:$A$33,$B22,Setup!$B$16:$B$33,"Win rate")-SUMIFS(Setup!$E$16:$E$33,Setup!$A$16:$A$33,$B22,Setup!$B$16:$B$33,"Win rate"))*100))))</f>
        <v/>
      </c>
      <c r="M22" s="16">
        <f>IF(OR($A22="",G22=""),"",IF(SUMIFS(Setup!$F$16:$F$33,Setup!$A$16:$A$33,$B22,Setup!$B$16:$B$33,"Forecast accuracy")=SUMIFS(Setup!$E$16:$E$33,Setup!$A$16:$A$33,$B22,Setup!$B$16:$B$33,"Forecast accuracy"),"",MAX(0,MIN(SUMIFS(Setup!$G$16:$G$33,Setup!$A$16:$A$33,$B22,Setup!$B$16:$B$33,"Forecast accuracy"),(G22-SUMIFS(Setup!$E$16:$E$33,Setup!$A$16:$A$33,$B22,Setup!$B$16:$B$33,"Forecast accuracy"))/(SUMIFS(Setup!$F$16:$F$33,Setup!$A$16:$A$33,$B22,Setup!$B$16:$B$33,"Forecast accuracy")-SUMIFS(Setup!$E$16:$E$33,Setup!$A$16:$A$33,$B22,Setup!$B$16:$B$33,"Forecast accuracy"))*100))))</f>
        <v/>
      </c>
      <c r="N22" s="16">
        <f>IF(OR($A22="",H22=""),"",IF(SUMIFS(Setup!$F$16:$F$33,Setup!$A$16:$A$33,$B22,Setup!$B$16:$B$33,"Stale pipeline")=SUMIFS(Setup!$E$16:$E$33,Setup!$A$16:$A$33,$B22,Setup!$B$16:$B$33,"Stale pipeline"),"",MAX(0,MIN(SUMIFS(Setup!$G$16:$G$33,Setup!$A$16:$A$33,$B22,Setup!$B$16:$B$33,"Stale pipeline"),(H22-SUMIFS(Setup!$E$16:$E$33,Setup!$A$16:$A$33,$B22,Setup!$B$16:$B$33,"Stale pipeline"))/(SUMIFS(Setup!$F$16:$F$33,Setup!$A$16:$A$33,$B22,Setup!$B$16:$B$33,"Stale pipeline")-SUMIFS(Setup!$E$16:$E$33,Setup!$A$16:$A$33,$B22,Setup!$B$16:$B$33,"Stale pipeline"))*100))))</f>
        <v/>
      </c>
      <c r="O22" s="12">
        <f>IF(ISNUMBER(I22),SUMIFS(Setup!$D$16:$D$33,Setup!$A$16:$A$33,$B22,Setup!$B$16:$B$33,"Quota attainment"),0)</f>
        <v/>
      </c>
      <c r="P22" s="12">
        <f>IF(ISNUMBER(J22),SUMIFS(Setup!$D$16:$D$33,Setup!$A$16:$A$33,$B22,Setup!$B$16:$B$33,"Pipeline created"),0)</f>
        <v/>
      </c>
      <c r="Q22" s="12">
        <f>IF(ISNUMBER(K22),SUMIFS(Setup!$D$16:$D$33,Setup!$A$16:$A$33,$B22,Setup!$B$16:$B$33,"Stage conversion"),0)</f>
        <v/>
      </c>
      <c r="R22" s="12">
        <f>IF(ISNUMBER(L22),SUMIFS(Setup!$D$16:$D$33,Setup!$A$16:$A$33,$B22,Setup!$B$16:$B$33,"Win rate"),0)</f>
        <v/>
      </c>
      <c r="S22" s="12">
        <f>IF(ISNUMBER(M22),SUMIFS(Setup!$D$16:$D$33,Setup!$A$16:$A$33,$B22,Setup!$B$16:$B$33,"Forecast accuracy"),0)</f>
        <v/>
      </c>
      <c r="T22" s="12">
        <f>IF(ISNUMBER(N22),SUMIFS(Setup!$D$16:$D$33,Setup!$A$16:$A$33,$B22,Setup!$B$16:$B$33,"Stale pipeline"),0)</f>
        <v/>
      </c>
      <c r="U22" s="16">
        <f>IF(ISNUMBER(I22),O22*I22,0)</f>
        <v/>
      </c>
      <c r="V22" s="16">
        <f>IF(ISNUMBER(J22),P22*J22,0)</f>
        <v/>
      </c>
      <c r="W22" s="16">
        <f>IF(ISNUMBER(K22),Q22*K22,0)</f>
        <v/>
      </c>
      <c r="X22" s="16">
        <f>IF(ISNUMBER(L22),R22*L22,0)</f>
        <v/>
      </c>
      <c r="Y22" s="16">
        <f>IF(ISNUMBER(M22),S22*M22,0)</f>
        <v/>
      </c>
      <c r="Z22" s="16">
        <f>IF(ISNUMBER(N22),T22*N22,0)</f>
        <v/>
      </c>
      <c r="AA22" s="12">
        <f>SUM(O22:T22)</f>
        <v/>
      </c>
      <c r="AB22" s="16">
        <f>IF(OR(A22="",AA22&lt;=0),"",SUM(U22:Z22)/AA22)</f>
        <v/>
      </c>
      <c r="AC22" s="16">
        <f>IF(AND(ISNUMBER(I22),$AA22&gt;0),O22*MAX(0,100-I22)/$AA22,0)</f>
        <v/>
      </c>
      <c r="AD22" s="16">
        <f>IF(AND(ISNUMBER(J22),$AA22&gt;0),P22*MAX(0,100-J22)/$AA22,0)</f>
        <v/>
      </c>
      <c r="AE22" s="16">
        <f>IF(AND(ISNUMBER(K22),$AA22&gt;0),Q22*MAX(0,100-K22)/$AA22,0)</f>
        <v/>
      </c>
      <c r="AF22" s="16">
        <f>IF(AND(ISNUMBER(L22),$AA22&gt;0),R22*MAX(0,100-L22)/$AA22,0)</f>
        <v/>
      </c>
      <c r="AG22" s="16">
        <f>IF(AND(ISNUMBER(M22),$AA22&gt;0),S22*MAX(0,100-M22)/$AA22,0)</f>
        <v/>
      </c>
      <c r="AH22" s="16">
        <f>IF(AND(ISNUMBER(N22),$AA22&gt;0),T22*MAX(0,100-N22)/$AA22,0)</f>
        <v/>
      </c>
      <c r="AI22" s="13">
        <f>IF(AB22="","",IF(MAX(AC22:AH22)&lt;=0,"All at or above target",INDEX($AC$3:$AH$3,MATCH(MAX(AC22:AH22),AC22:AH22,0))))</f>
        <v/>
      </c>
      <c r="AJ22" s="13">
        <f>IF(AB22="","",IF(AB22&gt;=Setup!$B$10,Setup!$A$10,IF(AB22&gt;=Setup!$B$11,Setup!$A$11,IF(AB22&gt;=Setup!$B$12,Setup!$A$12,Setup!$A$13))))</f>
        <v/>
      </c>
      <c r="AK22" s="12">
        <f>IF(AB22="","",COUNTIF(AB$5:AB$34,"&gt;"&amp;AB22)+1)</f>
        <v/>
      </c>
      <c r="AL22" s="12">
        <f>IF(C22="","",COUNTIF(C$5:C$34,"&gt;"&amp;C22)+1)</f>
        <v/>
      </c>
      <c r="AM22" s="13">
        <f>IF(G22="","",IF(Actuals!B22&gt;Actuals!H22,"Under-called",IF(Actuals!B22&lt;Actuals!H22,"Over-called","Exact")))</f>
        <v/>
      </c>
    </row>
    <row r="23">
      <c r="A23" s="13">
        <f>IF(Reps!A23="","",Reps!A23)</f>
        <v/>
      </c>
      <c r="B23" s="13">
        <f>IF(A23="","",Reps!C23)</f>
        <v/>
      </c>
      <c r="C23" s="15">
        <f>IF(OR(A23="",N(Reps!E23)&lt;=0,Actuals!B23=""),"",Actuals!B23/Reps!E23)</f>
        <v/>
      </c>
      <c r="D23" s="15">
        <f>IF(OR(A23="",N(Reps!F23)&lt;=0,Actuals!C23=""),"",Actuals!C23/Reps!F23)</f>
        <v/>
      </c>
      <c r="E23" s="15">
        <f>IF(OR(A23="",N(Actuals!D23)&lt;=0,Actuals!E23=""),"",Actuals!E23/Actuals!D23)</f>
        <v/>
      </c>
      <c r="F23" s="15">
        <f>IF(OR(A23="",N(Actuals!F23)+N(Actuals!G23)&lt;=0),"",N(Actuals!F23)/(N(Actuals!F23)+N(Actuals!G23)))</f>
        <v/>
      </c>
      <c r="G23" s="15">
        <f>IF(OR(A23="",Actuals!H23=""),"",IF(N(Actuals!B23)&lt;=0,IF(N(Actuals!H23)&gt;0,0,""),MAX(0,1-ABS(Actuals!B23-Actuals!H23)/Actuals!B23)))</f>
        <v/>
      </c>
      <c r="H23" s="15">
        <f>IF(OR(A23="",N(Actuals!I23)&lt;=0,Actuals!J23=""),"",Actuals!J23/Actuals!I23)</f>
        <v/>
      </c>
      <c r="I23" s="16">
        <f>IF(OR($A23="",C23=""),"",IF(SUMIFS(Setup!$F$16:$F$33,Setup!$A$16:$A$33,$B23,Setup!$B$16:$B$33,"Quota attainment")=SUMIFS(Setup!$E$16:$E$33,Setup!$A$16:$A$33,$B23,Setup!$B$16:$B$33,"Quota attainment"),"",MAX(0,MIN(SUMIFS(Setup!$G$16:$G$33,Setup!$A$16:$A$33,$B23,Setup!$B$16:$B$33,"Quota attainment"),(C23-SUMIFS(Setup!$E$16:$E$33,Setup!$A$16:$A$33,$B23,Setup!$B$16:$B$33,"Quota attainment"))/(SUMIFS(Setup!$F$16:$F$33,Setup!$A$16:$A$33,$B23,Setup!$B$16:$B$33,"Quota attainment")-SUMIFS(Setup!$E$16:$E$33,Setup!$A$16:$A$33,$B23,Setup!$B$16:$B$33,"Quota attainment"))*100))))</f>
        <v/>
      </c>
      <c r="J23" s="16">
        <f>IF(OR($A23="",D23=""),"",IF(SUMIFS(Setup!$F$16:$F$33,Setup!$A$16:$A$33,$B23,Setup!$B$16:$B$33,"Pipeline created")=SUMIFS(Setup!$E$16:$E$33,Setup!$A$16:$A$33,$B23,Setup!$B$16:$B$33,"Pipeline created"),"",MAX(0,MIN(SUMIFS(Setup!$G$16:$G$33,Setup!$A$16:$A$33,$B23,Setup!$B$16:$B$33,"Pipeline created"),(D23-SUMIFS(Setup!$E$16:$E$33,Setup!$A$16:$A$33,$B23,Setup!$B$16:$B$33,"Pipeline created"))/(SUMIFS(Setup!$F$16:$F$33,Setup!$A$16:$A$33,$B23,Setup!$B$16:$B$33,"Pipeline created")-SUMIFS(Setup!$E$16:$E$33,Setup!$A$16:$A$33,$B23,Setup!$B$16:$B$33,"Pipeline created"))*100))))</f>
        <v/>
      </c>
      <c r="K23" s="16">
        <f>IF(OR($A23="",E23=""),"",IF(SUMIFS(Setup!$F$16:$F$33,Setup!$A$16:$A$33,$B23,Setup!$B$16:$B$33,"Stage conversion")=SUMIFS(Setup!$E$16:$E$33,Setup!$A$16:$A$33,$B23,Setup!$B$16:$B$33,"Stage conversion"),"",MAX(0,MIN(SUMIFS(Setup!$G$16:$G$33,Setup!$A$16:$A$33,$B23,Setup!$B$16:$B$33,"Stage conversion"),(E23-SUMIFS(Setup!$E$16:$E$33,Setup!$A$16:$A$33,$B23,Setup!$B$16:$B$33,"Stage conversion"))/(SUMIFS(Setup!$F$16:$F$33,Setup!$A$16:$A$33,$B23,Setup!$B$16:$B$33,"Stage conversion")-SUMIFS(Setup!$E$16:$E$33,Setup!$A$16:$A$33,$B23,Setup!$B$16:$B$33,"Stage conversion"))*100))))</f>
        <v/>
      </c>
      <c r="L23" s="16">
        <f>IF(OR($A23="",F23=""),"",IF(SUMIFS(Setup!$F$16:$F$33,Setup!$A$16:$A$33,$B23,Setup!$B$16:$B$33,"Win rate")=SUMIFS(Setup!$E$16:$E$33,Setup!$A$16:$A$33,$B23,Setup!$B$16:$B$33,"Win rate"),"",MAX(0,MIN(SUMIFS(Setup!$G$16:$G$33,Setup!$A$16:$A$33,$B23,Setup!$B$16:$B$33,"Win rate"),(F23-SUMIFS(Setup!$E$16:$E$33,Setup!$A$16:$A$33,$B23,Setup!$B$16:$B$33,"Win rate"))/(SUMIFS(Setup!$F$16:$F$33,Setup!$A$16:$A$33,$B23,Setup!$B$16:$B$33,"Win rate")-SUMIFS(Setup!$E$16:$E$33,Setup!$A$16:$A$33,$B23,Setup!$B$16:$B$33,"Win rate"))*100))))</f>
        <v/>
      </c>
      <c r="M23" s="16">
        <f>IF(OR($A23="",G23=""),"",IF(SUMIFS(Setup!$F$16:$F$33,Setup!$A$16:$A$33,$B23,Setup!$B$16:$B$33,"Forecast accuracy")=SUMIFS(Setup!$E$16:$E$33,Setup!$A$16:$A$33,$B23,Setup!$B$16:$B$33,"Forecast accuracy"),"",MAX(0,MIN(SUMIFS(Setup!$G$16:$G$33,Setup!$A$16:$A$33,$B23,Setup!$B$16:$B$33,"Forecast accuracy"),(G23-SUMIFS(Setup!$E$16:$E$33,Setup!$A$16:$A$33,$B23,Setup!$B$16:$B$33,"Forecast accuracy"))/(SUMIFS(Setup!$F$16:$F$33,Setup!$A$16:$A$33,$B23,Setup!$B$16:$B$33,"Forecast accuracy")-SUMIFS(Setup!$E$16:$E$33,Setup!$A$16:$A$33,$B23,Setup!$B$16:$B$33,"Forecast accuracy"))*100))))</f>
        <v/>
      </c>
      <c r="N23" s="16">
        <f>IF(OR($A23="",H23=""),"",IF(SUMIFS(Setup!$F$16:$F$33,Setup!$A$16:$A$33,$B23,Setup!$B$16:$B$33,"Stale pipeline")=SUMIFS(Setup!$E$16:$E$33,Setup!$A$16:$A$33,$B23,Setup!$B$16:$B$33,"Stale pipeline"),"",MAX(0,MIN(SUMIFS(Setup!$G$16:$G$33,Setup!$A$16:$A$33,$B23,Setup!$B$16:$B$33,"Stale pipeline"),(H23-SUMIFS(Setup!$E$16:$E$33,Setup!$A$16:$A$33,$B23,Setup!$B$16:$B$33,"Stale pipeline"))/(SUMIFS(Setup!$F$16:$F$33,Setup!$A$16:$A$33,$B23,Setup!$B$16:$B$33,"Stale pipeline")-SUMIFS(Setup!$E$16:$E$33,Setup!$A$16:$A$33,$B23,Setup!$B$16:$B$33,"Stale pipeline"))*100))))</f>
        <v/>
      </c>
      <c r="O23" s="12">
        <f>IF(ISNUMBER(I23),SUMIFS(Setup!$D$16:$D$33,Setup!$A$16:$A$33,$B23,Setup!$B$16:$B$33,"Quota attainment"),0)</f>
        <v/>
      </c>
      <c r="P23" s="12">
        <f>IF(ISNUMBER(J23),SUMIFS(Setup!$D$16:$D$33,Setup!$A$16:$A$33,$B23,Setup!$B$16:$B$33,"Pipeline created"),0)</f>
        <v/>
      </c>
      <c r="Q23" s="12">
        <f>IF(ISNUMBER(K23),SUMIFS(Setup!$D$16:$D$33,Setup!$A$16:$A$33,$B23,Setup!$B$16:$B$33,"Stage conversion"),0)</f>
        <v/>
      </c>
      <c r="R23" s="12">
        <f>IF(ISNUMBER(L23),SUMIFS(Setup!$D$16:$D$33,Setup!$A$16:$A$33,$B23,Setup!$B$16:$B$33,"Win rate"),0)</f>
        <v/>
      </c>
      <c r="S23" s="12">
        <f>IF(ISNUMBER(M23),SUMIFS(Setup!$D$16:$D$33,Setup!$A$16:$A$33,$B23,Setup!$B$16:$B$33,"Forecast accuracy"),0)</f>
        <v/>
      </c>
      <c r="T23" s="12">
        <f>IF(ISNUMBER(N23),SUMIFS(Setup!$D$16:$D$33,Setup!$A$16:$A$33,$B23,Setup!$B$16:$B$33,"Stale pipeline"),0)</f>
        <v/>
      </c>
      <c r="U23" s="16">
        <f>IF(ISNUMBER(I23),O23*I23,0)</f>
        <v/>
      </c>
      <c r="V23" s="16">
        <f>IF(ISNUMBER(J23),P23*J23,0)</f>
        <v/>
      </c>
      <c r="W23" s="16">
        <f>IF(ISNUMBER(K23),Q23*K23,0)</f>
        <v/>
      </c>
      <c r="X23" s="16">
        <f>IF(ISNUMBER(L23),R23*L23,0)</f>
        <v/>
      </c>
      <c r="Y23" s="16">
        <f>IF(ISNUMBER(M23),S23*M23,0)</f>
        <v/>
      </c>
      <c r="Z23" s="16">
        <f>IF(ISNUMBER(N23),T23*N23,0)</f>
        <v/>
      </c>
      <c r="AA23" s="12">
        <f>SUM(O23:T23)</f>
        <v/>
      </c>
      <c r="AB23" s="16">
        <f>IF(OR(A23="",AA23&lt;=0),"",SUM(U23:Z23)/AA23)</f>
        <v/>
      </c>
      <c r="AC23" s="16">
        <f>IF(AND(ISNUMBER(I23),$AA23&gt;0),O23*MAX(0,100-I23)/$AA23,0)</f>
        <v/>
      </c>
      <c r="AD23" s="16">
        <f>IF(AND(ISNUMBER(J23),$AA23&gt;0),P23*MAX(0,100-J23)/$AA23,0)</f>
        <v/>
      </c>
      <c r="AE23" s="16">
        <f>IF(AND(ISNUMBER(K23),$AA23&gt;0),Q23*MAX(0,100-K23)/$AA23,0)</f>
        <v/>
      </c>
      <c r="AF23" s="16">
        <f>IF(AND(ISNUMBER(L23),$AA23&gt;0),R23*MAX(0,100-L23)/$AA23,0)</f>
        <v/>
      </c>
      <c r="AG23" s="16">
        <f>IF(AND(ISNUMBER(M23),$AA23&gt;0),S23*MAX(0,100-M23)/$AA23,0)</f>
        <v/>
      </c>
      <c r="AH23" s="16">
        <f>IF(AND(ISNUMBER(N23),$AA23&gt;0),T23*MAX(0,100-N23)/$AA23,0)</f>
        <v/>
      </c>
      <c r="AI23" s="13">
        <f>IF(AB23="","",IF(MAX(AC23:AH23)&lt;=0,"All at or above target",INDEX($AC$3:$AH$3,MATCH(MAX(AC23:AH23),AC23:AH23,0))))</f>
        <v/>
      </c>
      <c r="AJ23" s="13">
        <f>IF(AB23="","",IF(AB23&gt;=Setup!$B$10,Setup!$A$10,IF(AB23&gt;=Setup!$B$11,Setup!$A$11,IF(AB23&gt;=Setup!$B$12,Setup!$A$12,Setup!$A$13))))</f>
        <v/>
      </c>
      <c r="AK23" s="12">
        <f>IF(AB23="","",COUNTIF(AB$5:AB$34,"&gt;"&amp;AB23)+1)</f>
        <v/>
      </c>
      <c r="AL23" s="12">
        <f>IF(C23="","",COUNTIF(C$5:C$34,"&gt;"&amp;C23)+1)</f>
        <v/>
      </c>
      <c r="AM23" s="13">
        <f>IF(G23="","",IF(Actuals!B23&gt;Actuals!H23,"Under-called",IF(Actuals!B23&lt;Actuals!H23,"Over-called","Exact")))</f>
        <v/>
      </c>
    </row>
    <row r="24">
      <c r="A24" s="13">
        <f>IF(Reps!A24="","",Reps!A24)</f>
        <v/>
      </c>
      <c r="B24" s="13">
        <f>IF(A24="","",Reps!C24)</f>
        <v/>
      </c>
      <c r="C24" s="15">
        <f>IF(OR(A24="",N(Reps!E24)&lt;=0,Actuals!B24=""),"",Actuals!B24/Reps!E24)</f>
        <v/>
      </c>
      <c r="D24" s="15">
        <f>IF(OR(A24="",N(Reps!F24)&lt;=0,Actuals!C24=""),"",Actuals!C24/Reps!F24)</f>
        <v/>
      </c>
      <c r="E24" s="15">
        <f>IF(OR(A24="",N(Actuals!D24)&lt;=0,Actuals!E24=""),"",Actuals!E24/Actuals!D24)</f>
        <v/>
      </c>
      <c r="F24" s="15">
        <f>IF(OR(A24="",N(Actuals!F24)+N(Actuals!G24)&lt;=0),"",N(Actuals!F24)/(N(Actuals!F24)+N(Actuals!G24)))</f>
        <v/>
      </c>
      <c r="G24" s="15">
        <f>IF(OR(A24="",Actuals!H24=""),"",IF(N(Actuals!B24)&lt;=0,IF(N(Actuals!H24)&gt;0,0,""),MAX(0,1-ABS(Actuals!B24-Actuals!H24)/Actuals!B24)))</f>
        <v/>
      </c>
      <c r="H24" s="15">
        <f>IF(OR(A24="",N(Actuals!I24)&lt;=0,Actuals!J24=""),"",Actuals!J24/Actuals!I24)</f>
        <v/>
      </c>
      <c r="I24" s="16">
        <f>IF(OR($A24="",C24=""),"",IF(SUMIFS(Setup!$F$16:$F$33,Setup!$A$16:$A$33,$B24,Setup!$B$16:$B$33,"Quota attainment")=SUMIFS(Setup!$E$16:$E$33,Setup!$A$16:$A$33,$B24,Setup!$B$16:$B$33,"Quota attainment"),"",MAX(0,MIN(SUMIFS(Setup!$G$16:$G$33,Setup!$A$16:$A$33,$B24,Setup!$B$16:$B$33,"Quota attainment"),(C24-SUMIFS(Setup!$E$16:$E$33,Setup!$A$16:$A$33,$B24,Setup!$B$16:$B$33,"Quota attainment"))/(SUMIFS(Setup!$F$16:$F$33,Setup!$A$16:$A$33,$B24,Setup!$B$16:$B$33,"Quota attainment")-SUMIFS(Setup!$E$16:$E$33,Setup!$A$16:$A$33,$B24,Setup!$B$16:$B$33,"Quota attainment"))*100))))</f>
        <v/>
      </c>
      <c r="J24" s="16">
        <f>IF(OR($A24="",D24=""),"",IF(SUMIFS(Setup!$F$16:$F$33,Setup!$A$16:$A$33,$B24,Setup!$B$16:$B$33,"Pipeline created")=SUMIFS(Setup!$E$16:$E$33,Setup!$A$16:$A$33,$B24,Setup!$B$16:$B$33,"Pipeline created"),"",MAX(0,MIN(SUMIFS(Setup!$G$16:$G$33,Setup!$A$16:$A$33,$B24,Setup!$B$16:$B$33,"Pipeline created"),(D24-SUMIFS(Setup!$E$16:$E$33,Setup!$A$16:$A$33,$B24,Setup!$B$16:$B$33,"Pipeline created"))/(SUMIFS(Setup!$F$16:$F$33,Setup!$A$16:$A$33,$B24,Setup!$B$16:$B$33,"Pipeline created")-SUMIFS(Setup!$E$16:$E$33,Setup!$A$16:$A$33,$B24,Setup!$B$16:$B$33,"Pipeline created"))*100))))</f>
        <v/>
      </c>
      <c r="K24" s="16">
        <f>IF(OR($A24="",E24=""),"",IF(SUMIFS(Setup!$F$16:$F$33,Setup!$A$16:$A$33,$B24,Setup!$B$16:$B$33,"Stage conversion")=SUMIFS(Setup!$E$16:$E$33,Setup!$A$16:$A$33,$B24,Setup!$B$16:$B$33,"Stage conversion"),"",MAX(0,MIN(SUMIFS(Setup!$G$16:$G$33,Setup!$A$16:$A$33,$B24,Setup!$B$16:$B$33,"Stage conversion"),(E24-SUMIFS(Setup!$E$16:$E$33,Setup!$A$16:$A$33,$B24,Setup!$B$16:$B$33,"Stage conversion"))/(SUMIFS(Setup!$F$16:$F$33,Setup!$A$16:$A$33,$B24,Setup!$B$16:$B$33,"Stage conversion")-SUMIFS(Setup!$E$16:$E$33,Setup!$A$16:$A$33,$B24,Setup!$B$16:$B$33,"Stage conversion"))*100))))</f>
        <v/>
      </c>
      <c r="L24" s="16">
        <f>IF(OR($A24="",F24=""),"",IF(SUMIFS(Setup!$F$16:$F$33,Setup!$A$16:$A$33,$B24,Setup!$B$16:$B$33,"Win rate")=SUMIFS(Setup!$E$16:$E$33,Setup!$A$16:$A$33,$B24,Setup!$B$16:$B$33,"Win rate"),"",MAX(0,MIN(SUMIFS(Setup!$G$16:$G$33,Setup!$A$16:$A$33,$B24,Setup!$B$16:$B$33,"Win rate"),(F24-SUMIFS(Setup!$E$16:$E$33,Setup!$A$16:$A$33,$B24,Setup!$B$16:$B$33,"Win rate"))/(SUMIFS(Setup!$F$16:$F$33,Setup!$A$16:$A$33,$B24,Setup!$B$16:$B$33,"Win rate")-SUMIFS(Setup!$E$16:$E$33,Setup!$A$16:$A$33,$B24,Setup!$B$16:$B$33,"Win rate"))*100))))</f>
        <v/>
      </c>
      <c r="M24" s="16">
        <f>IF(OR($A24="",G24=""),"",IF(SUMIFS(Setup!$F$16:$F$33,Setup!$A$16:$A$33,$B24,Setup!$B$16:$B$33,"Forecast accuracy")=SUMIFS(Setup!$E$16:$E$33,Setup!$A$16:$A$33,$B24,Setup!$B$16:$B$33,"Forecast accuracy"),"",MAX(0,MIN(SUMIFS(Setup!$G$16:$G$33,Setup!$A$16:$A$33,$B24,Setup!$B$16:$B$33,"Forecast accuracy"),(G24-SUMIFS(Setup!$E$16:$E$33,Setup!$A$16:$A$33,$B24,Setup!$B$16:$B$33,"Forecast accuracy"))/(SUMIFS(Setup!$F$16:$F$33,Setup!$A$16:$A$33,$B24,Setup!$B$16:$B$33,"Forecast accuracy")-SUMIFS(Setup!$E$16:$E$33,Setup!$A$16:$A$33,$B24,Setup!$B$16:$B$33,"Forecast accuracy"))*100))))</f>
        <v/>
      </c>
      <c r="N24" s="16">
        <f>IF(OR($A24="",H24=""),"",IF(SUMIFS(Setup!$F$16:$F$33,Setup!$A$16:$A$33,$B24,Setup!$B$16:$B$33,"Stale pipeline")=SUMIFS(Setup!$E$16:$E$33,Setup!$A$16:$A$33,$B24,Setup!$B$16:$B$33,"Stale pipeline"),"",MAX(0,MIN(SUMIFS(Setup!$G$16:$G$33,Setup!$A$16:$A$33,$B24,Setup!$B$16:$B$33,"Stale pipeline"),(H24-SUMIFS(Setup!$E$16:$E$33,Setup!$A$16:$A$33,$B24,Setup!$B$16:$B$33,"Stale pipeline"))/(SUMIFS(Setup!$F$16:$F$33,Setup!$A$16:$A$33,$B24,Setup!$B$16:$B$33,"Stale pipeline")-SUMIFS(Setup!$E$16:$E$33,Setup!$A$16:$A$33,$B24,Setup!$B$16:$B$33,"Stale pipeline"))*100))))</f>
        <v/>
      </c>
      <c r="O24" s="12">
        <f>IF(ISNUMBER(I24),SUMIFS(Setup!$D$16:$D$33,Setup!$A$16:$A$33,$B24,Setup!$B$16:$B$33,"Quota attainment"),0)</f>
        <v/>
      </c>
      <c r="P24" s="12">
        <f>IF(ISNUMBER(J24),SUMIFS(Setup!$D$16:$D$33,Setup!$A$16:$A$33,$B24,Setup!$B$16:$B$33,"Pipeline created"),0)</f>
        <v/>
      </c>
      <c r="Q24" s="12">
        <f>IF(ISNUMBER(K24),SUMIFS(Setup!$D$16:$D$33,Setup!$A$16:$A$33,$B24,Setup!$B$16:$B$33,"Stage conversion"),0)</f>
        <v/>
      </c>
      <c r="R24" s="12">
        <f>IF(ISNUMBER(L24),SUMIFS(Setup!$D$16:$D$33,Setup!$A$16:$A$33,$B24,Setup!$B$16:$B$33,"Win rate"),0)</f>
        <v/>
      </c>
      <c r="S24" s="12">
        <f>IF(ISNUMBER(M24),SUMIFS(Setup!$D$16:$D$33,Setup!$A$16:$A$33,$B24,Setup!$B$16:$B$33,"Forecast accuracy"),0)</f>
        <v/>
      </c>
      <c r="T24" s="12">
        <f>IF(ISNUMBER(N24),SUMIFS(Setup!$D$16:$D$33,Setup!$A$16:$A$33,$B24,Setup!$B$16:$B$33,"Stale pipeline"),0)</f>
        <v/>
      </c>
      <c r="U24" s="16">
        <f>IF(ISNUMBER(I24),O24*I24,0)</f>
        <v/>
      </c>
      <c r="V24" s="16">
        <f>IF(ISNUMBER(J24),P24*J24,0)</f>
        <v/>
      </c>
      <c r="W24" s="16">
        <f>IF(ISNUMBER(K24),Q24*K24,0)</f>
        <v/>
      </c>
      <c r="X24" s="16">
        <f>IF(ISNUMBER(L24),R24*L24,0)</f>
        <v/>
      </c>
      <c r="Y24" s="16">
        <f>IF(ISNUMBER(M24),S24*M24,0)</f>
        <v/>
      </c>
      <c r="Z24" s="16">
        <f>IF(ISNUMBER(N24),T24*N24,0)</f>
        <v/>
      </c>
      <c r="AA24" s="12">
        <f>SUM(O24:T24)</f>
        <v/>
      </c>
      <c r="AB24" s="16">
        <f>IF(OR(A24="",AA24&lt;=0),"",SUM(U24:Z24)/AA24)</f>
        <v/>
      </c>
      <c r="AC24" s="16">
        <f>IF(AND(ISNUMBER(I24),$AA24&gt;0),O24*MAX(0,100-I24)/$AA24,0)</f>
        <v/>
      </c>
      <c r="AD24" s="16">
        <f>IF(AND(ISNUMBER(J24),$AA24&gt;0),P24*MAX(0,100-J24)/$AA24,0)</f>
        <v/>
      </c>
      <c r="AE24" s="16">
        <f>IF(AND(ISNUMBER(K24),$AA24&gt;0),Q24*MAX(0,100-K24)/$AA24,0)</f>
        <v/>
      </c>
      <c r="AF24" s="16">
        <f>IF(AND(ISNUMBER(L24),$AA24&gt;0),R24*MAX(0,100-L24)/$AA24,0)</f>
        <v/>
      </c>
      <c r="AG24" s="16">
        <f>IF(AND(ISNUMBER(M24),$AA24&gt;0),S24*MAX(0,100-M24)/$AA24,0)</f>
        <v/>
      </c>
      <c r="AH24" s="16">
        <f>IF(AND(ISNUMBER(N24),$AA24&gt;0),T24*MAX(0,100-N24)/$AA24,0)</f>
        <v/>
      </c>
      <c r="AI24" s="13">
        <f>IF(AB24="","",IF(MAX(AC24:AH24)&lt;=0,"All at or above target",INDEX($AC$3:$AH$3,MATCH(MAX(AC24:AH24),AC24:AH24,0))))</f>
        <v/>
      </c>
      <c r="AJ24" s="13">
        <f>IF(AB24="","",IF(AB24&gt;=Setup!$B$10,Setup!$A$10,IF(AB24&gt;=Setup!$B$11,Setup!$A$11,IF(AB24&gt;=Setup!$B$12,Setup!$A$12,Setup!$A$13))))</f>
        <v/>
      </c>
      <c r="AK24" s="12">
        <f>IF(AB24="","",COUNTIF(AB$5:AB$34,"&gt;"&amp;AB24)+1)</f>
        <v/>
      </c>
      <c r="AL24" s="12">
        <f>IF(C24="","",COUNTIF(C$5:C$34,"&gt;"&amp;C24)+1)</f>
        <v/>
      </c>
      <c r="AM24" s="13">
        <f>IF(G24="","",IF(Actuals!B24&gt;Actuals!H24,"Under-called",IF(Actuals!B24&lt;Actuals!H24,"Over-called","Exact")))</f>
        <v/>
      </c>
    </row>
    <row r="25">
      <c r="A25" s="13">
        <f>IF(Reps!A25="","",Reps!A25)</f>
        <v/>
      </c>
      <c r="B25" s="13">
        <f>IF(A25="","",Reps!C25)</f>
        <v/>
      </c>
      <c r="C25" s="15">
        <f>IF(OR(A25="",N(Reps!E25)&lt;=0,Actuals!B25=""),"",Actuals!B25/Reps!E25)</f>
        <v/>
      </c>
      <c r="D25" s="15">
        <f>IF(OR(A25="",N(Reps!F25)&lt;=0,Actuals!C25=""),"",Actuals!C25/Reps!F25)</f>
        <v/>
      </c>
      <c r="E25" s="15">
        <f>IF(OR(A25="",N(Actuals!D25)&lt;=0,Actuals!E25=""),"",Actuals!E25/Actuals!D25)</f>
        <v/>
      </c>
      <c r="F25" s="15">
        <f>IF(OR(A25="",N(Actuals!F25)+N(Actuals!G25)&lt;=0),"",N(Actuals!F25)/(N(Actuals!F25)+N(Actuals!G25)))</f>
        <v/>
      </c>
      <c r="G25" s="15">
        <f>IF(OR(A25="",Actuals!H25=""),"",IF(N(Actuals!B25)&lt;=0,IF(N(Actuals!H25)&gt;0,0,""),MAX(0,1-ABS(Actuals!B25-Actuals!H25)/Actuals!B25)))</f>
        <v/>
      </c>
      <c r="H25" s="15">
        <f>IF(OR(A25="",N(Actuals!I25)&lt;=0,Actuals!J25=""),"",Actuals!J25/Actuals!I25)</f>
        <v/>
      </c>
      <c r="I25" s="16">
        <f>IF(OR($A25="",C25=""),"",IF(SUMIFS(Setup!$F$16:$F$33,Setup!$A$16:$A$33,$B25,Setup!$B$16:$B$33,"Quota attainment")=SUMIFS(Setup!$E$16:$E$33,Setup!$A$16:$A$33,$B25,Setup!$B$16:$B$33,"Quota attainment"),"",MAX(0,MIN(SUMIFS(Setup!$G$16:$G$33,Setup!$A$16:$A$33,$B25,Setup!$B$16:$B$33,"Quota attainment"),(C25-SUMIFS(Setup!$E$16:$E$33,Setup!$A$16:$A$33,$B25,Setup!$B$16:$B$33,"Quota attainment"))/(SUMIFS(Setup!$F$16:$F$33,Setup!$A$16:$A$33,$B25,Setup!$B$16:$B$33,"Quota attainment")-SUMIFS(Setup!$E$16:$E$33,Setup!$A$16:$A$33,$B25,Setup!$B$16:$B$33,"Quota attainment"))*100))))</f>
        <v/>
      </c>
      <c r="J25" s="16">
        <f>IF(OR($A25="",D25=""),"",IF(SUMIFS(Setup!$F$16:$F$33,Setup!$A$16:$A$33,$B25,Setup!$B$16:$B$33,"Pipeline created")=SUMIFS(Setup!$E$16:$E$33,Setup!$A$16:$A$33,$B25,Setup!$B$16:$B$33,"Pipeline created"),"",MAX(0,MIN(SUMIFS(Setup!$G$16:$G$33,Setup!$A$16:$A$33,$B25,Setup!$B$16:$B$33,"Pipeline created"),(D25-SUMIFS(Setup!$E$16:$E$33,Setup!$A$16:$A$33,$B25,Setup!$B$16:$B$33,"Pipeline created"))/(SUMIFS(Setup!$F$16:$F$33,Setup!$A$16:$A$33,$B25,Setup!$B$16:$B$33,"Pipeline created")-SUMIFS(Setup!$E$16:$E$33,Setup!$A$16:$A$33,$B25,Setup!$B$16:$B$33,"Pipeline created"))*100))))</f>
        <v/>
      </c>
      <c r="K25" s="16">
        <f>IF(OR($A25="",E25=""),"",IF(SUMIFS(Setup!$F$16:$F$33,Setup!$A$16:$A$33,$B25,Setup!$B$16:$B$33,"Stage conversion")=SUMIFS(Setup!$E$16:$E$33,Setup!$A$16:$A$33,$B25,Setup!$B$16:$B$33,"Stage conversion"),"",MAX(0,MIN(SUMIFS(Setup!$G$16:$G$33,Setup!$A$16:$A$33,$B25,Setup!$B$16:$B$33,"Stage conversion"),(E25-SUMIFS(Setup!$E$16:$E$33,Setup!$A$16:$A$33,$B25,Setup!$B$16:$B$33,"Stage conversion"))/(SUMIFS(Setup!$F$16:$F$33,Setup!$A$16:$A$33,$B25,Setup!$B$16:$B$33,"Stage conversion")-SUMIFS(Setup!$E$16:$E$33,Setup!$A$16:$A$33,$B25,Setup!$B$16:$B$33,"Stage conversion"))*100))))</f>
        <v/>
      </c>
      <c r="L25" s="16">
        <f>IF(OR($A25="",F25=""),"",IF(SUMIFS(Setup!$F$16:$F$33,Setup!$A$16:$A$33,$B25,Setup!$B$16:$B$33,"Win rate")=SUMIFS(Setup!$E$16:$E$33,Setup!$A$16:$A$33,$B25,Setup!$B$16:$B$33,"Win rate"),"",MAX(0,MIN(SUMIFS(Setup!$G$16:$G$33,Setup!$A$16:$A$33,$B25,Setup!$B$16:$B$33,"Win rate"),(F25-SUMIFS(Setup!$E$16:$E$33,Setup!$A$16:$A$33,$B25,Setup!$B$16:$B$33,"Win rate"))/(SUMIFS(Setup!$F$16:$F$33,Setup!$A$16:$A$33,$B25,Setup!$B$16:$B$33,"Win rate")-SUMIFS(Setup!$E$16:$E$33,Setup!$A$16:$A$33,$B25,Setup!$B$16:$B$33,"Win rate"))*100))))</f>
        <v/>
      </c>
      <c r="M25" s="16">
        <f>IF(OR($A25="",G25=""),"",IF(SUMIFS(Setup!$F$16:$F$33,Setup!$A$16:$A$33,$B25,Setup!$B$16:$B$33,"Forecast accuracy")=SUMIFS(Setup!$E$16:$E$33,Setup!$A$16:$A$33,$B25,Setup!$B$16:$B$33,"Forecast accuracy"),"",MAX(0,MIN(SUMIFS(Setup!$G$16:$G$33,Setup!$A$16:$A$33,$B25,Setup!$B$16:$B$33,"Forecast accuracy"),(G25-SUMIFS(Setup!$E$16:$E$33,Setup!$A$16:$A$33,$B25,Setup!$B$16:$B$33,"Forecast accuracy"))/(SUMIFS(Setup!$F$16:$F$33,Setup!$A$16:$A$33,$B25,Setup!$B$16:$B$33,"Forecast accuracy")-SUMIFS(Setup!$E$16:$E$33,Setup!$A$16:$A$33,$B25,Setup!$B$16:$B$33,"Forecast accuracy"))*100))))</f>
        <v/>
      </c>
      <c r="N25" s="16">
        <f>IF(OR($A25="",H25=""),"",IF(SUMIFS(Setup!$F$16:$F$33,Setup!$A$16:$A$33,$B25,Setup!$B$16:$B$33,"Stale pipeline")=SUMIFS(Setup!$E$16:$E$33,Setup!$A$16:$A$33,$B25,Setup!$B$16:$B$33,"Stale pipeline"),"",MAX(0,MIN(SUMIFS(Setup!$G$16:$G$33,Setup!$A$16:$A$33,$B25,Setup!$B$16:$B$33,"Stale pipeline"),(H25-SUMIFS(Setup!$E$16:$E$33,Setup!$A$16:$A$33,$B25,Setup!$B$16:$B$33,"Stale pipeline"))/(SUMIFS(Setup!$F$16:$F$33,Setup!$A$16:$A$33,$B25,Setup!$B$16:$B$33,"Stale pipeline")-SUMIFS(Setup!$E$16:$E$33,Setup!$A$16:$A$33,$B25,Setup!$B$16:$B$33,"Stale pipeline"))*100))))</f>
        <v/>
      </c>
      <c r="O25" s="12">
        <f>IF(ISNUMBER(I25),SUMIFS(Setup!$D$16:$D$33,Setup!$A$16:$A$33,$B25,Setup!$B$16:$B$33,"Quota attainment"),0)</f>
        <v/>
      </c>
      <c r="P25" s="12">
        <f>IF(ISNUMBER(J25),SUMIFS(Setup!$D$16:$D$33,Setup!$A$16:$A$33,$B25,Setup!$B$16:$B$33,"Pipeline created"),0)</f>
        <v/>
      </c>
      <c r="Q25" s="12">
        <f>IF(ISNUMBER(K25),SUMIFS(Setup!$D$16:$D$33,Setup!$A$16:$A$33,$B25,Setup!$B$16:$B$33,"Stage conversion"),0)</f>
        <v/>
      </c>
      <c r="R25" s="12">
        <f>IF(ISNUMBER(L25),SUMIFS(Setup!$D$16:$D$33,Setup!$A$16:$A$33,$B25,Setup!$B$16:$B$33,"Win rate"),0)</f>
        <v/>
      </c>
      <c r="S25" s="12">
        <f>IF(ISNUMBER(M25),SUMIFS(Setup!$D$16:$D$33,Setup!$A$16:$A$33,$B25,Setup!$B$16:$B$33,"Forecast accuracy"),0)</f>
        <v/>
      </c>
      <c r="T25" s="12">
        <f>IF(ISNUMBER(N25),SUMIFS(Setup!$D$16:$D$33,Setup!$A$16:$A$33,$B25,Setup!$B$16:$B$33,"Stale pipeline"),0)</f>
        <v/>
      </c>
      <c r="U25" s="16">
        <f>IF(ISNUMBER(I25),O25*I25,0)</f>
        <v/>
      </c>
      <c r="V25" s="16">
        <f>IF(ISNUMBER(J25),P25*J25,0)</f>
        <v/>
      </c>
      <c r="W25" s="16">
        <f>IF(ISNUMBER(K25),Q25*K25,0)</f>
        <v/>
      </c>
      <c r="X25" s="16">
        <f>IF(ISNUMBER(L25),R25*L25,0)</f>
        <v/>
      </c>
      <c r="Y25" s="16">
        <f>IF(ISNUMBER(M25),S25*M25,0)</f>
        <v/>
      </c>
      <c r="Z25" s="16">
        <f>IF(ISNUMBER(N25),T25*N25,0)</f>
        <v/>
      </c>
      <c r="AA25" s="12">
        <f>SUM(O25:T25)</f>
        <v/>
      </c>
      <c r="AB25" s="16">
        <f>IF(OR(A25="",AA25&lt;=0),"",SUM(U25:Z25)/AA25)</f>
        <v/>
      </c>
      <c r="AC25" s="16">
        <f>IF(AND(ISNUMBER(I25),$AA25&gt;0),O25*MAX(0,100-I25)/$AA25,0)</f>
        <v/>
      </c>
      <c r="AD25" s="16">
        <f>IF(AND(ISNUMBER(J25),$AA25&gt;0),P25*MAX(0,100-J25)/$AA25,0)</f>
        <v/>
      </c>
      <c r="AE25" s="16">
        <f>IF(AND(ISNUMBER(K25),$AA25&gt;0),Q25*MAX(0,100-K25)/$AA25,0)</f>
        <v/>
      </c>
      <c r="AF25" s="16">
        <f>IF(AND(ISNUMBER(L25),$AA25&gt;0),R25*MAX(0,100-L25)/$AA25,0)</f>
        <v/>
      </c>
      <c r="AG25" s="16">
        <f>IF(AND(ISNUMBER(M25),$AA25&gt;0),S25*MAX(0,100-M25)/$AA25,0)</f>
        <v/>
      </c>
      <c r="AH25" s="16">
        <f>IF(AND(ISNUMBER(N25),$AA25&gt;0),T25*MAX(0,100-N25)/$AA25,0)</f>
        <v/>
      </c>
      <c r="AI25" s="13">
        <f>IF(AB25="","",IF(MAX(AC25:AH25)&lt;=0,"All at or above target",INDEX($AC$3:$AH$3,MATCH(MAX(AC25:AH25),AC25:AH25,0))))</f>
        <v/>
      </c>
      <c r="AJ25" s="13">
        <f>IF(AB25="","",IF(AB25&gt;=Setup!$B$10,Setup!$A$10,IF(AB25&gt;=Setup!$B$11,Setup!$A$11,IF(AB25&gt;=Setup!$B$12,Setup!$A$12,Setup!$A$13))))</f>
        <v/>
      </c>
      <c r="AK25" s="12">
        <f>IF(AB25="","",COUNTIF(AB$5:AB$34,"&gt;"&amp;AB25)+1)</f>
        <v/>
      </c>
      <c r="AL25" s="12">
        <f>IF(C25="","",COUNTIF(C$5:C$34,"&gt;"&amp;C25)+1)</f>
        <v/>
      </c>
      <c r="AM25" s="13">
        <f>IF(G25="","",IF(Actuals!B25&gt;Actuals!H25,"Under-called",IF(Actuals!B25&lt;Actuals!H25,"Over-called","Exact")))</f>
        <v/>
      </c>
    </row>
    <row r="26">
      <c r="A26" s="13">
        <f>IF(Reps!A26="","",Reps!A26)</f>
        <v/>
      </c>
      <c r="B26" s="13">
        <f>IF(A26="","",Reps!C26)</f>
        <v/>
      </c>
      <c r="C26" s="15">
        <f>IF(OR(A26="",N(Reps!E26)&lt;=0,Actuals!B26=""),"",Actuals!B26/Reps!E26)</f>
        <v/>
      </c>
      <c r="D26" s="15">
        <f>IF(OR(A26="",N(Reps!F26)&lt;=0,Actuals!C26=""),"",Actuals!C26/Reps!F26)</f>
        <v/>
      </c>
      <c r="E26" s="15">
        <f>IF(OR(A26="",N(Actuals!D26)&lt;=0,Actuals!E26=""),"",Actuals!E26/Actuals!D26)</f>
        <v/>
      </c>
      <c r="F26" s="15">
        <f>IF(OR(A26="",N(Actuals!F26)+N(Actuals!G26)&lt;=0),"",N(Actuals!F26)/(N(Actuals!F26)+N(Actuals!G26)))</f>
        <v/>
      </c>
      <c r="G26" s="15">
        <f>IF(OR(A26="",Actuals!H26=""),"",IF(N(Actuals!B26)&lt;=0,IF(N(Actuals!H26)&gt;0,0,""),MAX(0,1-ABS(Actuals!B26-Actuals!H26)/Actuals!B26)))</f>
        <v/>
      </c>
      <c r="H26" s="15">
        <f>IF(OR(A26="",N(Actuals!I26)&lt;=0,Actuals!J26=""),"",Actuals!J26/Actuals!I26)</f>
        <v/>
      </c>
      <c r="I26" s="16">
        <f>IF(OR($A26="",C26=""),"",IF(SUMIFS(Setup!$F$16:$F$33,Setup!$A$16:$A$33,$B26,Setup!$B$16:$B$33,"Quota attainment")=SUMIFS(Setup!$E$16:$E$33,Setup!$A$16:$A$33,$B26,Setup!$B$16:$B$33,"Quota attainment"),"",MAX(0,MIN(SUMIFS(Setup!$G$16:$G$33,Setup!$A$16:$A$33,$B26,Setup!$B$16:$B$33,"Quota attainment"),(C26-SUMIFS(Setup!$E$16:$E$33,Setup!$A$16:$A$33,$B26,Setup!$B$16:$B$33,"Quota attainment"))/(SUMIFS(Setup!$F$16:$F$33,Setup!$A$16:$A$33,$B26,Setup!$B$16:$B$33,"Quota attainment")-SUMIFS(Setup!$E$16:$E$33,Setup!$A$16:$A$33,$B26,Setup!$B$16:$B$33,"Quota attainment"))*100))))</f>
        <v/>
      </c>
      <c r="J26" s="16">
        <f>IF(OR($A26="",D26=""),"",IF(SUMIFS(Setup!$F$16:$F$33,Setup!$A$16:$A$33,$B26,Setup!$B$16:$B$33,"Pipeline created")=SUMIFS(Setup!$E$16:$E$33,Setup!$A$16:$A$33,$B26,Setup!$B$16:$B$33,"Pipeline created"),"",MAX(0,MIN(SUMIFS(Setup!$G$16:$G$33,Setup!$A$16:$A$33,$B26,Setup!$B$16:$B$33,"Pipeline created"),(D26-SUMIFS(Setup!$E$16:$E$33,Setup!$A$16:$A$33,$B26,Setup!$B$16:$B$33,"Pipeline created"))/(SUMIFS(Setup!$F$16:$F$33,Setup!$A$16:$A$33,$B26,Setup!$B$16:$B$33,"Pipeline created")-SUMIFS(Setup!$E$16:$E$33,Setup!$A$16:$A$33,$B26,Setup!$B$16:$B$33,"Pipeline created"))*100))))</f>
        <v/>
      </c>
      <c r="K26" s="16">
        <f>IF(OR($A26="",E26=""),"",IF(SUMIFS(Setup!$F$16:$F$33,Setup!$A$16:$A$33,$B26,Setup!$B$16:$B$33,"Stage conversion")=SUMIFS(Setup!$E$16:$E$33,Setup!$A$16:$A$33,$B26,Setup!$B$16:$B$33,"Stage conversion"),"",MAX(0,MIN(SUMIFS(Setup!$G$16:$G$33,Setup!$A$16:$A$33,$B26,Setup!$B$16:$B$33,"Stage conversion"),(E26-SUMIFS(Setup!$E$16:$E$33,Setup!$A$16:$A$33,$B26,Setup!$B$16:$B$33,"Stage conversion"))/(SUMIFS(Setup!$F$16:$F$33,Setup!$A$16:$A$33,$B26,Setup!$B$16:$B$33,"Stage conversion")-SUMIFS(Setup!$E$16:$E$33,Setup!$A$16:$A$33,$B26,Setup!$B$16:$B$33,"Stage conversion"))*100))))</f>
        <v/>
      </c>
      <c r="L26" s="16">
        <f>IF(OR($A26="",F26=""),"",IF(SUMIFS(Setup!$F$16:$F$33,Setup!$A$16:$A$33,$B26,Setup!$B$16:$B$33,"Win rate")=SUMIFS(Setup!$E$16:$E$33,Setup!$A$16:$A$33,$B26,Setup!$B$16:$B$33,"Win rate"),"",MAX(0,MIN(SUMIFS(Setup!$G$16:$G$33,Setup!$A$16:$A$33,$B26,Setup!$B$16:$B$33,"Win rate"),(F26-SUMIFS(Setup!$E$16:$E$33,Setup!$A$16:$A$33,$B26,Setup!$B$16:$B$33,"Win rate"))/(SUMIFS(Setup!$F$16:$F$33,Setup!$A$16:$A$33,$B26,Setup!$B$16:$B$33,"Win rate")-SUMIFS(Setup!$E$16:$E$33,Setup!$A$16:$A$33,$B26,Setup!$B$16:$B$33,"Win rate"))*100))))</f>
        <v/>
      </c>
      <c r="M26" s="16">
        <f>IF(OR($A26="",G26=""),"",IF(SUMIFS(Setup!$F$16:$F$33,Setup!$A$16:$A$33,$B26,Setup!$B$16:$B$33,"Forecast accuracy")=SUMIFS(Setup!$E$16:$E$33,Setup!$A$16:$A$33,$B26,Setup!$B$16:$B$33,"Forecast accuracy"),"",MAX(0,MIN(SUMIFS(Setup!$G$16:$G$33,Setup!$A$16:$A$33,$B26,Setup!$B$16:$B$33,"Forecast accuracy"),(G26-SUMIFS(Setup!$E$16:$E$33,Setup!$A$16:$A$33,$B26,Setup!$B$16:$B$33,"Forecast accuracy"))/(SUMIFS(Setup!$F$16:$F$33,Setup!$A$16:$A$33,$B26,Setup!$B$16:$B$33,"Forecast accuracy")-SUMIFS(Setup!$E$16:$E$33,Setup!$A$16:$A$33,$B26,Setup!$B$16:$B$33,"Forecast accuracy"))*100))))</f>
        <v/>
      </c>
      <c r="N26" s="16">
        <f>IF(OR($A26="",H26=""),"",IF(SUMIFS(Setup!$F$16:$F$33,Setup!$A$16:$A$33,$B26,Setup!$B$16:$B$33,"Stale pipeline")=SUMIFS(Setup!$E$16:$E$33,Setup!$A$16:$A$33,$B26,Setup!$B$16:$B$33,"Stale pipeline"),"",MAX(0,MIN(SUMIFS(Setup!$G$16:$G$33,Setup!$A$16:$A$33,$B26,Setup!$B$16:$B$33,"Stale pipeline"),(H26-SUMIFS(Setup!$E$16:$E$33,Setup!$A$16:$A$33,$B26,Setup!$B$16:$B$33,"Stale pipeline"))/(SUMIFS(Setup!$F$16:$F$33,Setup!$A$16:$A$33,$B26,Setup!$B$16:$B$33,"Stale pipeline")-SUMIFS(Setup!$E$16:$E$33,Setup!$A$16:$A$33,$B26,Setup!$B$16:$B$33,"Stale pipeline"))*100))))</f>
        <v/>
      </c>
      <c r="O26" s="12">
        <f>IF(ISNUMBER(I26),SUMIFS(Setup!$D$16:$D$33,Setup!$A$16:$A$33,$B26,Setup!$B$16:$B$33,"Quota attainment"),0)</f>
        <v/>
      </c>
      <c r="P26" s="12">
        <f>IF(ISNUMBER(J26),SUMIFS(Setup!$D$16:$D$33,Setup!$A$16:$A$33,$B26,Setup!$B$16:$B$33,"Pipeline created"),0)</f>
        <v/>
      </c>
      <c r="Q26" s="12">
        <f>IF(ISNUMBER(K26),SUMIFS(Setup!$D$16:$D$33,Setup!$A$16:$A$33,$B26,Setup!$B$16:$B$33,"Stage conversion"),0)</f>
        <v/>
      </c>
      <c r="R26" s="12">
        <f>IF(ISNUMBER(L26),SUMIFS(Setup!$D$16:$D$33,Setup!$A$16:$A$33,$B26,Setup!$B$16:$B$33,"Win rate"),0)</f>
        <v/>
      </c>
      <c r="S26" s="12">
        <f>IF(ISNUMBER(M26),SUMIFS(Setup!$D$16:$D$33,Setup!$A$16:$A$33,$B26,Setup!$B$16:$B$33,"Forecast accuracy"),0)</f>
        <v/>
      </c>
      <c r="T26" s="12">
        <f>IF(ISNUMBER(N26),SUMIFS(Setup!$D$16:$D$33,Setup!$A$16:$A$33,$B26,Setup!$B$16:$B$33,"Stale pipeline"),0)</f>
        <v/>
      </c>
      <c r="U26" s="16">
        <f>IF(ISNUMBER(I26),O26*I26,0)</f>
        <v/>
      </c>
      <c r="V26" s="16">
        <f>IF(ISNUMBER(J26),P26*J26,0)</f>
        <v/>
      </c>
      <c r="W26" s="16">
        <f>IF(ISNUMBER(K26),Q26*K26,0)</f>
        <v/>
      </c>
      <c r="X26" s="16">
        <f>IF(ISNUMBER(L26),R26*L26,0)</f>
        <v/>
      </c>
      <c r="Y26" s="16">
        <f>IF(ISNUMBER(M26),S26*M26,0)</f>
        <v/>
      </c>
      <c r="Z26" s="16">
        <f>IF(ISNUMBER(N26),T26*N26,0)</f>
        <v/>
      </c>
      <c r="AA26" s="12">
        <f>SUM(O26:T26)</f>
        <v/>
      </c>
      <c r="AB26" s="16">
        <f>IF(OR(A26="",AA26&lt;=0),"",SUM(U26:Z26)/AA26)</f>
        <v/>
      </c>
      <c r="AC26" s="16">
        <f>IF(AND(ISNUMBER(I26),$AA26&gt;0),O26*MAX(0,100-I26)/$AA26,0)</f>
        <v/>
      </c>
      <c r="AD26" s="16">
        <f>IF(AND(ISNUMBER(J26),$AA26&gt;0),P26*MAX(0,100-J26)/$AA26,0)</f>
        <v/>
      </c>
      <c r="AE26" s="16">
        <f>IF(AND(ISNUMBER(K26),$AA26&gt;0),Q26*MAX(0,100-K26)/$AA26,0)</f>
        <v/>
      </c>
      <c r="AF26" s="16">
        <f>IF(AND(ISNUMBER(L26),$AA26&gt;0),R26*MAX(0,100-L26)/$AA26,0)</f>
        <v/>
      </c>
      <c r="AG26" s="16">
        <f>IF(AND(ISNUMBER(M26),$AA26&gt;0),S26*MAX(0,100-M26)/$AA26,0)</f>
        <v/>
      </c>
      <c r="AH26" s="16">
        <f>IF(AND(ISNUMBER(N26),$AA26&gt;0),T26*MAX(0,100-N26)/$AA26,0)</f>
        <v/>
      </c>
      <c r="AI26" s="13">
        <f>IF(AB26="","",IF(MAX(AC26:AH26)&lt;=0,"All at or above target",INDEX($AC$3:$AH$3,MATCH(MAX(AC26:AH26),AC26:AH26,0))))</f>
        <v/>
      </c>
      <c r="AJ26" s="13">
        <f>IF(AB26="","",IF(AB26&gt;=Setup!$B$10,Setup!$A$10,IF(AB26&gt;=Setup!$B$11,Setup!$A$11,IF(AB26&gt;=Setup!$B$12,Setup!$A$12,Setup!$A$13))))</f>
        <v/>
      </c>
      <c r="AK26" s="12">
        <f>IF(AB26="","",COUNTIF(AB$5:AB$34,"&gt;"&amp;AB26)+1)</f>
        <v/>
      </c>
      <c r="AL26" s="12">
        <f>IF(C26="","",COUNTIF(C$5:C$34,"&gt;"&amp;C26)+1)</f>
        <v/>
      </c>
      <c r="AM26" s="13">
        <f>IF(G26="","",IF(Actuals!B26&gt;Actuals!H26,"Under-called",IF(Actuals!B26&lt;Actuals!H26,"Over-called","Exact")))</f>
        <v/>
      </c>
    </row>
    <row r="27">
      <c r="A27" s="13">
        <f>IF(Reps!A27="","",Reps!A27)</f>
        <v/>
      </c>
      <c r="B27" s="13">
        <f>IF(A27="","",Reps!C27)</f>
        <v/>
      </c>
      <c r="C27" s="15">
        <f>IF(OR(A27="",N(Reps!E27)&lt;=0,Actuals!B27=""),"",Actuals!B27/Reps!E27)</f>
        <v/>
      </c>
      <c r="D27" s="15">
        <f>IF(OR(A27="",N(Reps!F27)&lt;=0,Actuals!C27=""),"",Actuals!C27/Reps!F27)</f>
        <v/>
      </c>
      <c r="E27" s="15">
        <f>IF(OR(A27="",N(Actuals!D27)&lt;=0,Actuals!E27=""),"",Actuals!E27/Actuals!D27)</f>
        <v/>
      </c>
      <c r="F27" s="15">
        <f>IF(OR(A27="",N(Actuals!F27)+N(Actuals!G27)&lt;=0),"",N(Actuals!F27)/(N(Actuals!F27)+N(Actuals!G27)))</f>
        <v/>
      </c>
      <c r="G27" s="15">
        <f>IF(OR(A27="",Actuals!H27=""),"",IF(N(Actuals!B27)&lt;=0,IF(N(Actuals!H27)&gt;0,0,""),MAX(0,1-ABS(Actuals!B27-Actuals!H27)/Actuals!B27)))</f>
        <v/>
      </c>
      <c r="H27" s="15">
        <f>IF(OR(A27="",N(Actuals!I27)&lt;=0,Actuals!J27=""),"",Actuals!J27/Actuals!I27)</f>
        <v/>
      </c>
      <c r="I27" s="16">
        <f>IF(OR($A27="",C27=""),"",IF(SUMIFS(Setup!$F$16:$F$33,Setup!$A$16:$A$33,$B27,Setup!$B$16:$B$33,"Quota attainment")=SUMIFS(Setup!$E$16:$E$33,Setup!$A$16:$A$33,$B27,Setup!$B$16:$B$33,"Quota attainment"),"",MAX(0,MIN(SUMIFS(Setup!$G$16:$G$33,Setup!$A$16:$A$33,$B27,Setup!$B$16:$B$33,"Quota attainment"),(C27-SUMIFS(Setup!$E$16:$E$33,Setup!$A$16:$A$33,$B27,Setup!$B$16:$B$33,"Quota attainment"))/(SUMIFS(Setup!$F$16:$F$33,Setup!$A$16:$A$33,$B27,Setup!$B$16:$B$33,"Quota attainment")-SUMIFS(Setup!$E$16:$E$33,Setup!$A$16:$A$33,$B27,Setup!$B$16:$B$33,"Quota attainment"))*100))))</f>
        <v/>
      </c>
      <c r="J27" s="16">
        <f>IF(OR($A27="",D27=""),"",IF(SUMIFS(Setup!$F$16:$F$33,Setup!$A$16:$A$33,$B27,Setup!$B$16:$B$33,"Pipeline created")=SUMIFS(Setup!$E$16:$E$33,Setup!$A$16:$A$33,$B27,Setup!$B$16:$B$33,"Pipeline created"),"",MAX(0,MIN(SUMIFS(Setup!$G$16:$G$33,Setup!$A$16:$A$33,$B27,Setup!$B$16:$B$33,"Pipeline created"),(D27-SUMIFS(Setup!$E$16:$E$33,Setup!$A$16:$A$33,$B27,Setup!$B$16:$B$33,"Pipeline created"))/(SUMIFS(Setup!$F$16:$F$33,Setup!$A$16:$A$33,$B27,Setup!$B$16:$B$33,"Pipeline created")-SUMIFS(Setup!$E$16:$E$33,Setup!$A$16:$A$33,$B27,Setup!$B$16:$B$33,"Pipeline created"))*100))))</f>
        <v/>
      </c>
      <c r="K27" s="16">
        <f>IF(OR($A27="",E27=""),"",IF(SUMIFS(Setup!$F$16:$F$33,Setup!$A$16:$A$33,$B27,Setup!$B$16:$B$33,"Stage conversion")=SUMIFS(Setup!$E$16:$E$33,Setup!$A$16:$A$33,$B27,Setup!$B$16:$B$33,"Stage conversion"),"",MAX(0,MIN(SUMIFS(Setup!$G$16:$G$33,Setup!$A$16:$A$33,$B27,Setup!$B$16:$B$33,"Stage conversion"),(E27-SUMIFS(Setup!$E$16:$E$33,Setup!$A$16:$A$33,$B27,Setup!$B$16:$B$33,"Stage conversion"))/(SUMIFS(Setup!$F$16:$F$33,Setup!$A$16:$A$33,$B27,Setup!$B$16:$B$33,"Stage conversion")-SUMIFS(Setup!$E$16:$E$33,Setup!$A$16:$A$33,$B27,Setup!$B$16:$B$33,"Stage conversion"))*100))))</f>
        <v/>
      </c>
      <c r="L27" s="16">
        <f>IF(OR($A27="",F27=""),"",IF(SUMIFS(Setup!$F$16:$F$33,Setup!$A$16:$A$33,$B27,Setup!$B$16:$B$33,"Win rate")=SUMIFS(Setup!$E$16:$E$33,Setup!$A$16:$A$33,$B27,Setup!$B$16:$B$33,"Win rate"),"",MAX(0,MIN(SUMIFS(Setup!$G$16:$G$33,Setup!$A$16:$A$33,$B27,Setup!$B$16:$B$33,"Win rate"),(F27-SUMIFS(Setup!$E$16:$E$33,Setup!$A$16:$A$33,$B27,Setup!$B$16:$B$33,"Win rate"))/(SUMIFS(Setup!$F$16:$F$33,Setup!$A$16:$A$33,$B27,Setup!$B$16:$B$33,"Win rate")-SUMIFS(Setup!$E$16:$E$33,Setup!$A$16:$A$33,$B27,Setup!$B$16:$B$33,"Win rate"))*100))))</f>
        <v/>
      </c>
      <c r="M27" s="16">
        <f>IF(OR($A27="",G27=""),"",IF(SUMIFS(Setup!$F$16:$F$33,Setup!$A$16:$A$33,$B27,Setup!$B$16:$B$33,"Forecast accuracy")=SUMIFS(Setup!$E$16:$E$33,Setup!$A$16:$A$33,$B27,Setup!$B$16:$B$33,"Forecast accuracy"),"",MAX(0,MIN(SUMIFS(Setup!$G$16:$G$33,Setup!$A$16:$A$33,$B27,Setup!$B$16:$B$33,"Forecast accuracy"),(G27-SUMIFS(Setup!$E$16:$E$33,Setup!$A$16:$A$33,$B27,Setup!$B$16:$B$33,"Forecast accuracy"))/(SUMIFS(Setup!$F$16:$F$33,Setup!$A$16:$A$33,$B27,Setup!$B$16:$B$33,"Forecast accuracy")-SUMIFS(Setup!$E$16:$E$33,Setup!$A$16:$A$33,$B27,Setup!$B$16:$B$33,"Forecast accuracy"))*100))))</f>
        <v/>
      </c>
      <c r="N27" s="16">
        <f>IF(OR($A27="",H27=""),"",IF(SUMIFS(Setup!$F$16:$F$33,Setup!$A$16:$A$33,$B27,Setup!$B$16:$B$33,"Stale pipeline")=SUMIFS(Setup!$E$16:$E$33,Setup!$A$16:$A$33,$B27,Setup!$B$16:$B$33,"Stale pipeline"),"",MAX(0,MIN(SUMIFS(Setup!$G$16:$G$33,Setup!$A$16:$A$33,$B27,Setup!$B$16:$B$33,"Stale pipeline"),(H27-SUMIFS(Setup!$E$16:$E$33,Setup!$A$16:$A$33,$B27,Setup!$B$16:$B$33,"Stale pipeline"))/(SUMIFS(Setup!$F$16:$F$33,Setup!$A$16:$A$33,$B27,Setup!$B$16:$B$33,"Stale pipeline")-SUMIFS(Setup!$E$16:$E$33,Setup!$A$16:$A$33,$B27,Setup!$B$16:$B$33,"Stale pipeline"))*100))))</f>
        <v/>
      </c>
      <c r="O27" s="12">
        <f>IF(ISNUMBER(I27),SUMIFS(Setup!$D$16:$D$33,Setup!$A$16:$A$33,$B27,Setup!$B$16:$B$33,"Quota attainment"),0)</f>
        <v/>
      </c>
      <c r="P27" s="12">
        <f>IF(ISNUMBER(J27),SUMIFS(Setup!$D$16:$D$33,Setup!$A$16:$A$33,$B27,Setup!$B$16:$B$33,"Pipeline created"),0)</f>
        <v/>
      </c>
      <c r="Q27" s="12">
        <f>IF(ISNUMBER(K27),SUMIFS(Setup!$D$16:$D$33,Setup!$A$16:$A$33,$B27,Setup!$B$16:$B$33,"Stage conversion"),0)</f>
        <v/>
      </c>
      <c r="R27" s="12">
        <f>IF(ISNUMBER(L27),SUMIFS(Setup!$D$16:$D$33,Setup!$A$16:$A$33,$B27,Setup!$B$16:$B$33,"Win rate"),0)</f>
        <v/>
      </c>
      <c r="S27" s="12">
        <f>IF(ISNUMBER(M27),SUMIFS(Setup!$D$16:$D$33,Setup!$A$16:$A$33,$B27,Setup!$B$16:$B$33,"Forecast accuracy"),0)</f>
        <v/>
      </c>
      <c r="T27" s="12">
        <f>IF(ISNUMBER(N27),SUMIFS(Setup!$D$16:$D$33,Setup!$A$16:$A$33,$B27,Setup!$B$16:$B$33,"Stale pipeline"),0)</f>
        <v/>
      </c>
      <c r="U27" s="16">
        <f>IF(ISNUMBER(I27),O27*I27,0)</f>
        <v/>
      </c>
      <c r="V27" s="16">
        <f>IF(ISNUMBER(J27),P27*J27,0)</f>
        <v/>
      </c>
      <c r="W27" s="16">
        <f>IF(ISNUMBER(K27),Q27*K27,0)</f>
        <v/>
      </c>
      <c r="X27" s="16">
        <f>IF(ISNUMBER(L27),R27*L27,0)</f>
        <v/>
      </c>
      <c r="Y27" s="16">
        <f>IF(ISNUMBER(M27),S27*M27,0)</f>
        <v/>
      </c>
      <c r="Z27" s="16">
        <f>IF(ISNUMBER(N27),T27*N27,0)</f>
        <v/>
      </c>
      <c r="AA27" s="12">
        <f>SUM(O27:T27)</f>
        <v/>
      </c>
      <c r="AB27" s="16">
        <f>IF(OR(A27="",AA27&lt;=0),"",SUM(U27:Z27)/AA27)</f>
        <v/>
      </c>
      <c r="AC27" s="16">
        <f>IF(AND(ISNUMBER(I27),$AA27&gt;0),O27*MAX(0,100-I27)/$AA27,0)</f>
        <v/>
      </c>
      <c r="AD27" s="16">
        <f>IF(AND(ISNUMBER(J27),$AA27&gt;0),P27*MAX(0,100-J27)/$AA27,0)</f>
        <v/>
      </c>
      <c r="AE27" s="16">
        <f>IF(AND(ISNUMBER(K27),$AA27&gt;0),Q27*MAX(0,100-K27)/$AA27,0)</f>
        <v/>
      </c>
      <c r="AF27" s="16">
        <f>IF(AND(ISNUMBER(L27),$AA27&gt;0),R27*MAX(0,100-L27)/$AA27,0)</f>
        <v/>
      </c>
      <c r="AG27" s="16">
        <f>IF(AND(ISNUMBER(M27),$AA27&gt;0),S27*MAX(0,100-M27)/$AA27,0)</f>
        <v/>
      </c>
      <c r="AH27" s="16">
        <f>IF(AND(ISNUMBER(N27),$AA27&gt;0),T27*MAX(0,100-N27)/$AA27,0)</f>
        <v/>
      </c>
      <c r="AI27" s="13">
        <f>IF(AB27="","",IF(MAX(AC27:AH27)&lt;=0,"All at or above target",INDEX($AC$3:$AH$3,MATCH(MAX(AC27:AH27),AC27:AH27,0))))</f>
        <v/>
      </c>
      <c r="AJ27" s="13">
        <f>IF(AB27="","",IF(AB27&gt;=Setup!$B$10,Setup!$A$10,IF(AB27&gt;=Setup!$B$11,Setup!$A$11,IF(AB27&gt;=Setup!$B$12,Setup!$A$12,Setup!$A$13))))</f>
        <v/>
      </c>
      <c r="AK27" s="12">
        <f>IF(AB27="","",COUNTIF(AB$5:AB$34,"&gt;"&amp;AB27)+1)</f>
        <v/>
      </c>
      <c r="AL27" s="12">
        <f>IF(C27="","",COUNTIF(C$5:C$34,"&gt;"&amp;C27)+1)</f>
        <v/>
      </c>
      <c r="AM27" s="13">
        <f>IF(G27="","",IF(Actuals!B27&gt;Actuals!H27,"Under-called",IF(Actuals!B27&lt;Actuals!H27,"Over-called","Exact")))</f>
        <v/>
      </c>
    </row>
    <row r="28">
      <c r="A28" s="13">
        <f>IF(Reps!A28="","",Reps!A28)</f>
        <v/>
      </c>
      <c r="B28" s="13">
        <f>IF(A28="","",Reps!C28)</f>
        <v/>
      </c>
      <c r="C28" s="15">
        <f>IF(OR(A28="",N(Reps!E28)&lt;=0,Actuals!B28=""),"",Actuals!B28/Reps!E28)</f>
        <v/>
      </c>
      <c r="D28" s="15">
        <f>IF(OR(A28="",N(Reps!F28)&lt;=0,Actuals!C28=""),"",Actuals!C28/Reps!F28)</f>
        <v/>
      </c>
      <c r="E28" s="15">
        <f>IF(OR(A28="",N(Actuals!D28)&lt;=0,Actuals!E28=""),"",Actuals!E28/Actuals!D28)</f>
        <v/>
      </c>
      <c r="F28" s="15">
        <f>IF(OR(A28="",N(Actuals!F28)+N(Actuals!G28)&lt;=0),"",N(Actuals!F28)/(N(Actuals!F28)+N(Actuals!G28)))</f>
        <v/>
      </c>
      <c r="G28" s="15">
        <f>IF(OR(A28="",Actuals!H28=""),"",IF(N(Actuals!B28)&lt;=0,IF(N(Actuals!H28)&gt;0,0,""),MAX(0,1-ABS(Actuals!B28-Actuals!H28)/Actuals!B28)))</f>
        <v/>
      </c>
      <c r="H28" s="15">
        <f>IF(OR(A28="",N(Actuals!I28)&lt;=0,Actuals!J28=""),"",Actuals!J28/Actuals!I28)</f>
        <v/>
      </c>
      <c r="I28" s="16">
        <f>IF(OR($A28="",C28=""),"",IF(SUMIFS(Setup!$F$16:$F$33,Setup!$A$16:$A$33,$B28,Setup!$B$16:$B$33,"Quota attainment")=SUMIFS(Setup!$E$16:$E$33,Setup!$A$16:$A$33,$B28,Setup!$B$16:$B$33,"Quota attainment"),"",MAX(0,MIN(SUMIFS(Setup!$G$16:$G$33,Setup!$A$16:$A$33,$B28,Setup!$B$16:$B$33,"Quota attainment"),(C28-SUMIFS(Setup!$E$16:$E$33,Setup!$A$16:$A$33,$B28,Setup!$B$16:$B$33,"Quota attainment"))/(SUMIFS(Setup!$F$16:$F$33,Setup!$A$16:$A$33,$B28,Setup!$B$16:$B$33,"Quota attainment")-SUMIFS(Setup!$E$16:$E$33,Setup!$A$16:$A$33,$B28,Setup!$B$16:$B$33,"Quota attainment"))*100))))</f>
        <v/>
      </c>
      <c r="J28" s="16">
        <f>IF(OR($A28="",D28=""),"",IF(SUMIFS(Setup!$F$16:$F$33,Setup!$A$16:$A$33,$B28,Setup!$B$16:$B$33,"Pipeline created")=SUMIFS(Setup!$E$16:$E$33,Setup!$A$16:$A$33,$B28,Setup!$B$16:$B$33,"Pipeline created"),"",MAX(0,MIN(SUMIFS(Setup!$G$16:$G$33,Setup!$A$16:$A$33,$B28,Setup!$B$16:$B$33,"Pipeline created"),(D28-SUMIFS(Setup!$E$16:$E$33,Setup!$A$16:$A$33,$B28,Setup!$B$16:$B$33,"Pipeline created"))/(SUMIFS(Setup!$F$16:$F$33,Setup!$A$16:$A$33,$B28,Setup!$B$16:$B$33,"Pipeline created")-SUMIFS(Setup!$E$16:$E$33,Setup!$A$16:$A$33,$B28,Setup!$B$16:$B$33,"Pipeline created"))*100))))</f>
        <v/>
      </c>
      <c r="K28" s="16">
        <f>IF(OR($A28="",E28=""),"",IF(SUMIFS(Setup!$F$16:$F$33,Setup!$A$16:$A$33,$B28,Setup!$B$16:$B$33,"Stage conversion")=SUMIFS(Setup!$E$16:$E$33,Setup!$A$16:$A$33,$B28,Setup!$B$16:$B$33,"Stage conversion"),"",MAX(0,MIN(SUMIFS(Setup!$G$16:$G$33,Setup!$A$16:$A$33,$B28,Setup!$B$16:$B$33,"Stage conversion"),(E28-SUMIFS(Setup!$E$16:$E$33,Setup!$A$16:$A$33,$B28,Setup!$B$16:$B$33,"Stage conversion"))/(SUMIFS(Setup!$F$16:$F$33,Setup!$A$16:$A$33,$B28,Setup!$B$16:$B$33,"Stage conversion")-SUMIFS(Setup!$E$16:$E$33,Setup!$A$16:$A$33,$B28,Setup!$B$16:$B$33,"Stage conversion"))*100))))</f>
        <v/>
      </c>
      <c r="L28" s="16">
        <f>IF(OR($A28="",F28=""),"",IF(SUMIFS(Setup!$F$16:$F$33,Setup!$A$16:$A$33,$B28,Setup!$B$16:$B$33,"Win rate")=SUMIFS(Setup!$E$16:$E$33,Setup!$A$16:$A$33,$B28,Setup!$B$16:$B$33,"Win rate"),"",MAX(0,MIN(SUMIFS(Setup!$G$16:$G$33,Setup!$A$16:$A$33,$B28,Setup!$B$16:$B$33,"Win rate"),(F28-SUMIFS(Setup!$E$16:$E$33,Setup!$A$16:$A$33,$B28,Setup!$B$16:$B$33,"Win rate"))/(SUMIFS(Setup!$F$16:$F$33,Setup!$A$16:$A$33,$B28,Setup!$B$16:$B$33,"Win rate")-SUMIFS(Setup!$E$16:$E$33,Setup!$A$16:$A$33,$B28,Setup!$B$16:$B$33,"Win rate"))*100))))</f>
        <v/>
      </c>
      <c r="M28" s="16">
        <f>IF(OR($A28="",G28=""),"",IF(SUMIFS(Setup!$F$16:$F$33,Setup!$A$16:$A$33,$B28,Setup!$B$16:$B$33,"Forecast accuracy")=SUMIFS(Setup!$E$16:$E$33,Setup!$A$16:$A$33,$B28,Setup!$B$16:$B$33,"Forecast accuracy"),"",MAX(0,MIN(SUMIFS(Setup!$G$16:$G$33,Setup!$A$16:$A$33,$B28,Setup!$B$16:$B$33,"Forecast accuracy"),(G28-SUMIFS(Setup!$E$16:$E$33,Setup!$A$16:$A$33,$B28,Setup!$B$16:$B$33,"Forecast accuracy"))/(SUMIFS(Setup!$F$16:$F$33,Setup!$A$16:$A$33,$B28,Setup!$B$16:$B$33,"Forecast accuracy")-SUMIFS(Setup!$E$16:$E$33,Setup!$A$16:$A$33,$B28,Setup!$B$16:$B$33,"Forecast accuracy"))*100))))</f>
        <v/>
      </c>
      <c r="N28" s="16">
        <f>IF(OR($A28="",H28=""),"",IF(SUMIFS(Setup!$F$16:$F$33,Setup!$A$16:$A$33,$B28,Setup!$B$16:$B$33,"Stale pipeline")=SUMIFS(Setup!$E$16:$E$33,Setup!$A$16:$A$33,$B28,Setup!$B$16:$B$33,"Stale pipeline"),"",MAX(0,MIN(SUMIFS(Setup!$G$16:$G$33,Setup!$A$16:$A$33,$B28,Setup!$B$16:$B$33,"Stale pipeline"),(H28-SUMIFS(Setup!$E$16:$E$33,Setup!$A$16:$A$33,$B28,Setup!$B$16:$B$33,"Stale pipeline"))/(SUMIFS(Setup!$F$16:$F$33,Setup!$A$16:$A$33,$B28,Setup!$B$16:$B$33,"Stale pipeline")-SUMIFS(Setup!$E$16:$E$33,Setup!$A$16:$A$33,$B28,Setup!$B$16:$B$33,"Stale pipeline"))*100))))</f>
        <v/>
      </c>
      <c r="O28" s="12">
        <f>IF(ISNUMBER(I28),SUMIFS(Setup!$D$16:$D$33,Setup!$A$16:$A$33,$B28,Setup!$B$16:$B$33,"Quota attainment"),0)</f>
        <v/>
      </c>
      <c r="P28" s="12">
        <f>IF(ISNUMBER(J28),SUMIFS(Setup!$D$16:$D$33,Setup!$A$16:$A$33,$B28,Setup!$B$16:$B$33,"Pipeline created"),0)</f>
        <v/>
      </c>
      <c r="Q28" s="12">
        <f>IF(ISNUMBER(K28),SUMIFS(Setup!$D$16:$D$33,Setup!$A$16:$A$33,$B28,Setup!$B$16:$B$33,"Stage conversion"),0)</f>
        <v/>
      </c>
      <c r="R28" s="12">
        <f>IF(ISNUMBER(L28),SUMIFS(Setup!$D$16:$D$33,Setup!$A$16:$A$33,$B28,Setup!$B$16:$B$33,"Win rate"),0)</f>
        <v/>
      </c>
      <c r="S28" s="12">
        <f>IF(ISNUMBER(M28),SUMIFS(Setup!$D$16:$D$33,Setup!$A$16:$A$33,$B28,Setup!$B$16:$B$33,"Forecast accuracy"),0)</f>
        <v/>
      </c>
      <c r="T28" s="12">
        <f>IF(ISNUMBER(N28),SUMIFS(Setup!$D$16:$D$33,Setup!$A$16:$A$33,$B28,Setup!$B$16:$B$33,"Stale pipeline"),0)</f>
        <v/>
      </c>
      <c r="U28" s="16">
        <f>IF(ISNUMBER(I28),O28*I28,0)</f>
        <v/>
      </c>
      <c r="V28" s="16">
        <f>IF(ISNUMBER(J28),P28*J28,0)</f>
        <v/>
      </c>
      <c r="W28" s="16">
        <f>IF(ISNUMBER(K28),Q28*K28,0)</f>
        <v/>
      </c>
      <c r="X28" s="16">
        <f>IF(ISNUMBER(L28),R28*L28,0)</f>
        <v/>
      </c>
      <c r="Y28" s="16">
        <f>IF(ISNUMBER(M28),S28*M28,0)</f>
        <v/>
      </c>
      <c r="Z28" s="16">
        <f>IF(ISNUMBER(N28),T28*N28,0)</f>
        <v/>
      </c>
      <c r="AA28" s="12">
        <f>SUM(O28:T28)</f>
        <v/>
      </c>
      <c r="AB28" s="16">
        <f>IF(OR(A28="",AA28&lt;=0),"",SUM(U28:Z28)/AA28)</f>
        <v/>
      </c>
      <c r="AC28" s="16">
        <f>IF(AND(ISNUMBER(I28),$AA28&gt;0),O28*MAX(0,100-I28)/$AA28,0)</f>
        <v/>
      </c>
      <c r="AD28" s="16">
        <f>IF(AND(ISNUMBER(J28),$AA28&gt;0),P28*MAX(0,100-J28)/$AA28,0)</f>
        <v/>
      </c>
      <c r="AE28" s="16">
        <f>IF(AND(ISNUMBER(K28),$AA28&gt;0),Q28*MAX(0,100-K28)/$AA28,0)</f>
        <v/>
      </c>
      <c r="AF28" s="16">
        <f>IF(AND(ISNUMBER(L28),$AA28&gt;0),R28*MAX(0,100-L28)/$AA28,0)</f>
        <v/>
      </c>
      <c r="AG28" s="16">
        <f>IF(AND(ISNUMBER(M28),$AA28&gt;0),S28*MAX(0,100-M28)/$AA28,0)</f>
        <v/>
      </c>
      <c r="AH28" s="16">
        <f>IF(AND(ISNUMBER(N28),$AA28&gt;0),T28*MAX(0,100-N28)/$AA28,0)</f>
        <v/>
      </c>
      <c r="AI28" s="13">
        <f>IF(AB28="","",IF(MAX(AC28:AH28)&lt;=0,"All at or above target",INDEX($AC$3:$AH$3,MATCH(MAX(AC28:AH28),AC28:AH28,0))))</f>
        <v/>
      </c>
      <c r="AJ28" s="13">
        <f>IF(AB28="","",IF(AB28&gt;=Setup!$B$10,Setup!$A$10,IF(AB28&gt;=Setup!$B$11,Setup!$A$11,IF(AB28&gt;=Setup!$B$12,Setup!$A$12,Setup!$A$13))))</f>
        <v/>
      </c>
      <c r="AK28" s="12">
        <f>IF(AB28="","",COUNTIF(AB$5:AB$34,"&gt;"&amp;AB28)+1)</f>
        <v/>
      </c>
      <c r="AL28" s="12">
        <f>IF(C28="","",COUNTIF(C$5:C$34,"&gt;"&amp;C28)+1)</f>
        <v/>
      </c>
      <c r="AM28" s="13">
        <f>IF(G28="","",IF(Actuals!B28&gt;Actuals!H28,"Under-called",IF(Actuals!B28&lt;Actuals!H28,"Over-called","Exact")))</f>
        <v/>
      </c>
    </row>
    <row r="29">
      <c r="A29" s="13">
        <f>IF(Reps!A29="","",Reps!A29)</f>
        <v/>
      </c>
      <c r="B29" s="13">
        <f>IF(A29="","",Reps!C29)</f>
        <v/>
      </c>
      <c r="C29" s="15">
        <f>IF(OR(A29="",N(Reps!E29)&lt;=0,Actuals!B29=""),"",Actuals!B29/Reps!E29)</f>
        <v/>
      </c>
      <c r="D29" s="15">
        <f>IF(OR(A29="",N(Reps!F29)&lt;=0,Actuals!C29=""),"",Actuals!C29/Reps!F29)</f>
        <v/>
      </c>
      <c r="E29" s="15">
        <f>IF(OR(A29="",N(Actuals!D29)&lt;=0,Actuals!E29=""),"",Actuals!E29/Actuals!D29)</f>
        <v/>
      </c>
      <c r="F29" s="15">
        <f>IF(OR(A29="",N(Actuals!F29)+N(Actuals!G29)&lt;=0),"",N(Actuals!F29)/(N(Actuals!F29)+N(Actuals!G29)))</f>
        <v/>
      </c>
      <c r="G29" s="15">
        <f>IF(OR(A29="",Actuals!H29=""),"",IF(N(Actuals!B29)&lt;=0,IF(N(Actuals!H29)&gt;0,0,""),MAX(0,1-ABS(Actuals!B29-Actuals!H29)/Actuals!B29)))</f>
        <v/>
      </c>
      <c r="H29" s="15">
        <f>IF(OR(A29="",N(Actuals!I29)&lt;=0,Actuals!J29=""),"",Actuals!J29/Actuals!I29)</f>
        <v/>
      </c>
      <c r="I29" s="16">
        <f>IF(OR($A29="",C29=""),"",IF(SUMIFS(Setup!$F$16:$F$33,Setup!$A$16:$A$33,$B29,Setup!$B$16:$B$33,"Quota attainment")=SUMIFS(Setup!$E$16:$E$33,Setup!$A$16:$A$33,$B29,Setup!$B$16:$B$33,"Quota attainment"),"",MAX(0,MIN(SUMIFS(Setup!$G$16:$G$33,Setup!$A$16:$A$33,$B29,Setup!$B$16:$B$33,"Quota attainment"),(C29-SUMIFS(Setup!$E$16:$E$33,Setup!$A$16:$A$33,$B29,Setup!$B$16:$B$33,"Quota attainment"))/(SUMIFS(Setup!$F$16:$F$33,Setup!$A$16:$A$33,$B29,Setup!$B$16:$B$33,"Quota attainment")-SUMIFS(Setup!$E$16:$E$33,Setup!$A$16:$A$33,$B29,Setup!$B$16:$B$33,"Quota attainment"))*100))))</f>
        <v/>
      </c>
      <c r="J29" s="16">
        <f>IF(OR($A29="",D29=""),"",IF(SUMIFS(Setup!$F$16:$F$33,Setup!$A$16:$A$33,$B29,Setup!$B$16:$B$33,"Pipeline created")=SUMIFS(Setup!$E$16:$E$33,Setup!$A$16:$A$33,$B29,Setup!$B$16:$B$33,"Pipeline created"),"",MAX(0,MIN(SUMIFS(Setup!$G$16:$G$33,Setup!$A$16:$A$33,$B29,Setup!$B$16:$B$33,"Pipeline created"),(D29-SUMIFS(Setup!$E$16:$E$33,Setup!$A$16:$A$33,$B29,Setup!$B$16:$B$33,"Pipeline created"))/(SUMIFS(Setup!$F$16:$F$33,Setup!$A$16:$A$33,$B29,Setup!$B$16:$B$33,"Pipeline created")-SUMIFS(Setup!$E$16:$E$33,Setup!$A$16:$A$33,$B29,Setup!$B$16:$B$33,"Pipeline created"))*100))))</f>
        <v/>
      </c>
      <c r="K29" s="16">
        <f>IF(OR($A29="",E29=""),"",IF(SUMIFS(Setup!$F$16:$F$33,Setup!$A$16:$A$33,$B29,Setup!$B$16:$B$33,"Stage conversion")=SUMIFS(Setup!$E$16:$E$33,Setup!$A$16:$A$33,$B29,Setup!$B$16:$B$33,"Stage conversion"),"",MAX(0,MIN(SUMIFS(Setup!$G$16:$G$33,Setup!$A$16:$A$33,$B29,Setup!$B$16:$B$33,"Stage conversion"),(E29-SUMIFS(Setup!$E$16:$E$33,Setup!$A$16:$A$33,$B29,Setup!$B$16:$B$33,"Stage conversion"))/(SUMIFS(Setup!$F$16:$F$33,Setup!$A$16:$A$33,$B29,Setup!$B$16:$B$33,"Stage conversion")-SUMIFS(Setup!$E$16:$E$33,Setup!$A$16:$A$33,$B29,Setup!$B$16:$B$33,"Stage conversion"))*100))))</f>
        <v/>
      </c>
      <c r="L29" s="16">
        <f>IF(OR($A29="",F29=""),"",IF(SUMIFS(Setup!$F$16:$F$33,Setup!$A$16:$A$33,$B29,Setup!$B$16:$B$33,"Win rate")=SUMIFS(Setup!$E$16:$E$33,Setup!$A$16:$A$33,$B29,Setup!$B$16:$B$33,"Win rate"),"",MAX(0,MIN(SUMIFS(Setup!$G$16:$G$33,Setup!$A$16:$A$33,$B29,Setup!$B$16:$B$33,"Win rate"),(F29-SUMIFS(Setup!$E$16:$E$33,Setup!$A$16:$A$33,$B29,Setup!$B$16:$B$33,"Win rate"))/(SUMIFS(Setup!$F$16:$F$33,Setup!$A$16:$A$33,$B29,Setup!$B$16:$B$33,"Win rate")-SUMIFS(Setup!$E$16:$E$33,Setup!$A$16:$A$33,$B29,Setup!$B$16:$B$33,"Win rate"))*100))))</f>
        <v/>
      </c>
      <c r="M29" s="16">
        <f>IF(OR($A29="",G29=""),"",IF(SUMIFS(Setup!$F$16:$F$33,Setup!$A$16:$A$33,$B29,Setup!$B$16:$B$33,"Forecast accuracy")=SUMIFS(Setup!$E$16:$E$33,Setup!$A$16:$A$33,$B29,Setup!$B$16:$B$33,"Forecast accuracy"),"",MAX(0,MIN(SUMIFS(Setup!$G$16:$G$33,Setup!$A$16:$A$33,$B29,Setup!$B$16:$B$33,"Forecast accuracy"),(G29-SUMIFS(Setup!$E$16:$E$33,Setup!$A$16:$A$33,$B29,Setup!$B$16:$B$33,"Forecast accuracy"))/(SUMIFS(Setup!$F$16:$F$33,Setup!$A$16:$A$33,$B29,Setup!$B$16:$B$33,"Forecast accuracy")-SUMIFS(Setup!$E$16:$E$33,Setup!$A$16:$A$33,$B29,Setup!$B$16:$B$33,"Forecast accuracy"))*100))))</f>
        <v/>
      </c>
      <c r="N29" s="16">
        <f>IF(OR($A29="",H29=""),"",IF(SUMIFS(Setup!$F$16:$F$33,Setup!$A$16:$A$33,$B29,Setup!$B$16:$B$33,"Stale pipeline")=SUMIFS(Setup!$E$16:$E$33,Setup!$A$16:$A$33,$B29,Setup!$B$16:$B$33,"Stale pipeline"),"",MAX(0,MIN(SUMIFS(Setup!$G$16:$G$33,Setup!$A$16:$A$33,$B29,Setup!$B$16:$B$33,"Stale pipeline"),(H29-SUMIFS(Setup!$E$16:$E$33,Setup!$A$16:$A$33,$B29,Setup!$B$16:$B$33,"Stale pipeline"))/(SUMIFS(Setup!$F$16:$F$33,Setup!$A$16:$A$33,$B29,Setup!$B$16:$B$33,"Stale pipeline")-SUMIFS(Setup!$E$16:$E$33,Setup!$A$16:$A$33,$B29,Setup!$B$16:$B$33,"Stale pipeline"))*100))))</f>
        <v/>
      </c>
      <c r="O29" s="12">
        <f>IF(ISNUMBER(I29),SUMIFS(Setup!$D$16:$D$33,Setup!$A$16:$A$33,$B29,Setup!$B$16:$B$33,"Quota attainment"),0)</f>
        <v/>
      </c>
      <c r="P29" s="12">
        <f>IF(ISNUMBER(J29),SUMIFS(Setup!$D$16:$D$33,Setup!$A$16:$A$33,$B29,Setup!$B$16:$B$33,"Pipeline created"),0)</f>
        <v/>
      </c>
      <c r="Q29" s="12">
        <f>IF(ISNUMBER(K29),SUMIFS(Setup!$D$16:$D$33,Setup!$A$16:$A$33,$B29,Setup!$B$16:$B$33,"Stage conversion"),0)</f>
        <v/>
      </c>
      <c r="R29" s="12">
        <f>IF(ISNUMBER(L29),SUMIFS(Setup!$D$16:$D$33,Setup!$A$16:$A$33,$B29,Setup!$B$16:$B$33,"Win rate"),0)</f>
        <v/>
      </c>
      <c r="S29" s="12">
        <f>IF(ISNUMBER(M29),SUMIFS(Setup!$D$16:$D$33,Setup!$A$16:$A$33,$B29,Setup!$B$16:$B$33,"Forecast accuracy"),0)</f>
        <v/>
      </c>
      <c r="T29" s="12">
        <f>IF(ISNUMBER(N29),SUMIFS(Setup!$D$16:$D$33,Setup!$A$16:$A$33,$B29,Setup!$B$16:$B$33,"Stale pipeline"),0)</f>
        <v/>
      </c>
      <c r="U29" s="16">
        <f>IF(ISNUMBER(I29),O29*I29,0)</f>
        <v/>
      </c>
      <c r="V29" s="16">
        <f>IF(ISNUMBER(J29),P29*J29,0)</f>
        <v/>
      </c>
      <c r="W29" s="16">
        <f>IF(ISNUMBER(K29),Q29*K29,0)</f>
        <v/>
      </c>
      <c r="X29" s="16">
        <f>IF(ISNUMBER(L29),R29*L29,0)</f>
        <v/>
      </c>
      <c r="Y29" s="16">
        <f>IF(ISNUMBER(M29),S29*M29,0)</f>
        <v/>
      </c>
      <c r="Z29" s="16">
        <f>IF(ISNUMBER(N29),T29*N29,0)</f>
        <v/>
      </c>
      <c r="AA29" s="12">
        <f>SUM(O29:T29)</f>
        <v/>
      </c>
      <c r="AB29" s="16">
        <f>IF(OR(A29="",AA29&lt;=0),"",SUM(U29:Z29)/AA29)</f>
        <v/>
      </c>
      <c r="AC29" s="16">
        <f>IF(AND(ISNUMBER(I29),$AA29&gt;0),O29*MAX(0,100-I29)/$AA29,0)</f>
        <v/>
      </c>
      <c r="AD29" s="16">
        <f>IF(AND(ISNUMBER(J29),$AA29&gt;0),P29*MAX(0,100-J29)/$AA29,0)</f>
        <v/>
      </c>
      <c r="AE29" s="16">
        <f>IF(AND(ISNUMBER(K29),$AA29&gt;0),Q29*MAX(0,100-K29)/$AA29,0)</f>
        <v/>
      </c>
      <c r="AF29" s="16">
        <f>IF(AND(ISNUMBER(L29),$AA29&gt;0),R29*MAX(0,100-L29)/$AA29,0)</f>
        <v/>
      </c>
      <c r="AG29" s="16">
        <f>IF(AND(ISNUMBER(M29),$AA29&gt;0),S29*MAX(0,100-M29)/$AA29,0)</f>
        <v/>
      </c>
      <c r="AH29" s="16">
        <f>IF(AND(ISNUMBER(N29),$AA29&gt;0),T29*MAX(0,100-N29)/$AA29,0)</f>
        <v/>
      </c>
      <c r="AI29" s="13">
        <f>IF(AB29="","",IF(MAX(AC29:AH29)&lt;=0,"All at or above target",INDEX($AC$3:$AH$3,MATCH(MAX(AC29:AH29),AC29:AH29,0))))</f>
        <v/>
      </c>
      <c r="AJ29" s="13">
        <f>IF(AB29="","",IF(AB29&gt;=Setup!$B$10,Setup!$A$10,IF(AB29&gt;=Setup!$B$11,Setup!$A$11,IF(AB29&gt;=Setup!$B$12,Setup!$A$12,Setup!$A$13))))</f>
        <v/>
      </c>
      <c r="AK29" s="12">
        <f>IF(AB29="","",COUNTIF(AB$5:AB$34,"&gt;"&amp;AB29)+1)</f>
        <v/>
      </c>
      <c r="AL29" s="12">
        <f>IF(C29="","",COUNTIF(C$5:C$34,"&gt;"&amp;C29)+1)</f>
        <v/>
      </c>
      <c r="AM29" s="13">
        <f>IF(G29="","",IF(Actuals!B29&gt;Actuals!H29,"Under-called",IF(Actuals!B29&lt;Actuals!H29,"Over-called","Exact")))</f>
        <v/>
      </c>
    </row>
    <row r="30">
      <c r="A30" s="13">
        <f>IF(Reps!A30="","",Reps!A30)</f>
        <v/>
      </c>
      <c r="B30" s="13">
        <f>IF(A30="","",Reps!C30)</f>
        <v/>
      </c>
      <c r="C30" s="15">
        <f>IF(OR(A30="",N(Reps!E30)&lt;=0,Actuals!B30=""),"",Actuals!B30/Reps!E30)</f>
        <v/>
      </c>
      <c r="D30" s="15">
        <f>IF(OR(A30="",N(Reps!F30)&lt;=0,Actuals!C30=""),"",Actuals!C30/Reps!F30)</f>
        <v/>
      </c>
      <c r="E30" s="15">
        <f>IF(OR(A30="",N(Actuals!D30)&lt;=0,Actuals!E30=""),"",Actuals!E30/Actuals!D30)</f>
        <v/>
      </c>
      <c r="F30" s="15">
        <f>IF(OR(A30="",N(Actuals!F30)+N(Actuals!G30)&lt;=0),"",N(Actuals!F30)/(N(Actuals!F30)+N(Actuals!G30)))</f>
        <v/>
      </c>
      <c r="G30" s="15">
        <f>IF(OR(A30="",Actuals!H30=""),"",IF(N(Actuals!B30)&lt;=0,IF(N(Actuals!H30)&gt;0,0,""),MAX(0,1-ABS(Actuals!B30-Actuals!H30)/Actuals!B30)))</f>
        <v/>
      </c>
      <c r="H30" s="15">
        <f>IF(OR(A30="",N(Actuals!I30)&lt;=0,Actuals!J30=""),"",Actuals!J30/Actuals!I30)</f>
        <v/>
      </c>
      <c r="I30" s="16">
        <f>IF(OR($A30="",C30=""),"",IF(SUMIFS(Setup!$F$16:$F$33,Setup!$A$16:$A$33,$B30,Setup!$B$16:$B$33,"Quota attainment")=SUMIFS(Setup!$E$16:$E$33,Setup!$A$16:$A$33,$B30,Setup!$B$16:$B$33,"Quota attainment"),"",MAX(0,MIN(SUMIFS(Setup!$G$16:$G$33,Setup!$A$16:$A$33,$B30,Setup!$B$16:$B$33,"Quota attainment"),(C30-SUMIFS(Setup!$E$16:$E$33,Setup!$A$16:$A$33,$B30,Setup!$B$16:$B$33,"Quota attainment"))/(SUMIFS(Setup!$F$16:$F$33,Setup!$A$16:$A$33,$B30,Setup!$B$16:$B$33,"Quota attainment")-SUMIFS(Setup!$E$16:$E$33,Setup!$A$16:$A$33,$B30,Setup!$B$16:$B$33,"Quota attainment"))*100))))</f>
        <v/>
      </c>
      <c r="J30" s="16">
        <f>IF(OR($A30="",D30=""),"",IF(SUMIFS(Setup!$F$16:$F$33,Setup!$A$16:$A$33,$B30,Setup!$B$16:$B$33,"Pipeline created")=SUMIFS(Setup!$E$16:$E$33,Setup!$A$16:$A$33,$B30,Setup!$B$16:$B$33,"Pipeline created"),"",MAX(0,MIN(SUMIFS(Setup!$G$16:$G$33,Setup!$A$16:$A$33,$B30,Setup!$B$16:$B$33,"Pipeline created"),(D30-SUMIFS(Setup!$E$16:$E$33,Setup!$A$16:$A$33,$B30,Setup!$B$16:$B$33,"Pipeline created"))/(SUMIFS(Setup!$F$16:$F$33,Setup!$A$16:$A$33,$B30,Setup!$B$16:$B$33,"Pipeline created")-SUMIFS(Setup!$E$16:$E$33,Setup!$A$16:$A$33,$B30,Setup!$B$16:$B$33,"Pipeline created"))*100))))</f>
        <v/>
      </c>
      <c r="K30" s="16">
        <f>IF(OR($A30="",E30=""),"",IF(SUMIFS(Setup!$F$16:$F$33,Setup!$A$16:$A$33,$B30,Setup!$B$16:$B$33,"Stage conversion")=SUMIFS(Setup!$E$16:$E$33,Setup!$A$16:$A$33,$B30,Setup!$B$16:$B$33,"Stage conversion"),"",MAX(0,MIN(SUMIFS(Setup!$G$16:$G$33,Setup!$A$16:$A$33,$B30,Setup!$B$16:$B$33,"Stage conversion"),(E30-SUMIFS(Setup!$E$16:$E$33,Setup!$A$16:$A$33,$B30,Setup!$B$16:$B$33,"Stage conversion"))/(SUMIFS(Setup!$F$16:$F$33,Setup!$A$16:$A$33,$B30,Setup!$B$16:$B$33,"Stage conversion")-SUMIFS(Setup!$E$16:$E$33,Setup!$A$16:$A$33,$B30,Setup!$B$16:$B$33,"Stage conversion"))*100))))</f>
        <v/>
      </c>
      <c r="L30" s="16">
        <f>IF(OR($A30="",F30=""),"",IF(SUMIFS(Setup!$F$16:$F$33,Setup!$A$16:$A$33,$B30,Setup!$B$16:$B$33,"Win rate")=SUMIFS(Setup!$E$16:$E$33,Setup!$A$16:$A$33,$B30,Setup!$B$16:$B$33,"Win rate"),"",MAX(0,MIN(SUMIFS(Setup!$G$16:$G$33,Setup!$A$16:$A$33,$B30,Setup!$B$16:$B$33,"Win rate"),(F30-SUMIFS(Setup!$E$16:$E$33,Setup!$A$16:$A$33,$B30,Setup!$B$16:$B$33,"Win rate"))/(SUMIFS(Setup!$F$16:$F$33,Setup!$A$16:$A$33,$B30,Setup!$B$16:$B$33,"Win rate")-SUMIFS(Setup!$E$16:$E$33,Setup!$A$16:$A$33,$B30,Setup!$B$16:$B$33,"Win rate"))*100))))</f>
        <v/>
      </c>
      <c r="M30" s="16">
        <f>IF(OR($A30="",G30=""),"",IF(SUMIFS(Setup!$F$16:$F$33,Setup!$A$16:$A$33,$B30,Setup!$B$16:$B$33,"Forecast accuracy")=SUMIFS(Setup!$E$16:$E$33,Setup!$A$16:$A$33,$B30,Setup!$B$16:$B$33,"Forecast accuracy"),"",MAX(0,MIN(SUMIFS(Setup!$G$16:$G$33,Setup!$A$16:$A$33,$B30,Setup!$B$16:$B$33,"Forecast accuracy"),(G30-SUMIFS(Setup!$E$16:$E$33,Setup!$A$16:$A$33,$B30,Setup!$B$16:$B$33,"Forecast accuracy"))/(SUMIFS(Setup!$F$16:$F$33,Setup!$A$16:$A$33,$B30,Setup!$B$16:$B$33,"Forecast accuracy")-SUMIFS(Setup!$E$16:$E$33,Setup!$A$16:$A$33,$B30,Setup!$B$16:$B$33,"Forecast accuracy"))*100))))</f>
        <v/>
      </c>
      <c r="N30" s="16">
        <f>IF(OR($A30="",H30=""),"",IF(SUMIFS(Setup!$F$16:$F$33,Setup!$A$16:$A$33,$B30,Setup!$B$16:$B$33,"Stale pipeline")=SUMIFS(Setup!$E$16:$E$33,Setup!$A$16:$A$33,$B30,Setup!$B$16:$B$33,"Stale pipeline"),"",MAX(0,MIN(SUMIFS(Setup!$G$16:$G$33,Setup!$A$16:$A$33,$B30,Setup!$B$16:$B$33,"Stale pipeline"),(H30-SUMIFS(Setup!$E$16:$E$33,Setup!$A$16:$A$33,$B30,Setup!$B$16:$B$33,"Stale pipeline"))/(SUMIFS(Setup!$F$16:$F$33,Setup!$A$16:$A$33,$B30,Setup!$B$16:$B$33,"Stale pipeline")-SUMIFS(Setup!$E$16:$E$33,Setup!$A$16:$A$33,$B30,Setup!$B$16:$B$33,"Stale pipeline"))*100))))</f>
        <v/>
      </c>
      <c r="O30" s="12">
        <f>IF(ISNUMBER(I30),SUMIFS(Setup!$D$16:$D$33,Setup!$A$16:$A$33,$B30,Setup!$B$16:$B$33,"Quota attainment"),0)</f>
        <v/>
      </c>
      <c r="P30" s="12">
        <f>IF(ISNUMBER(J30),SUMIFS(Setup!$D$16:$D$33,Setup!$A$16:$A$33,$B30,Setup!$B$16:$B$33,"Pipeline created"),0)</f>
        <v/>
      </c>
      <c r="Q30" s="12">
        <f>IF(ISNUMBER(K30),SUMIFS(Setup!$D$16:$D$33,Setup!$A$16:$A$33,$B30,Setup!$B$16:$B$33,"Stage conversion"),0)</f>
        <v/>
      </c>
      <c r="R30" s="12">
        <f>IF(ISNUMBER(L30),SUMIFS(Setup!$D$16:$D$33,Setup!$A$16:$A$33,$B30,Setup!$B$16:$B$33,"Win rate"),0)</f>
        <v/>
      </c>
      <c r="S30" s="12">
        <f>IF(ISNUMBER(M30),SUMIFS(Setup!$D$16:$D$33,Setup!$A$16:$A$33,$B30,Setup!$B$16:$B$33,"Forecast accuracy"),0)</f>
        <v/>
      </c>
      <c r="T30" s="12">
        <f>IF(ISNUMBER(N30),SUMIFS(Setup!$D$16:$D$33,Setup!$A$16:$A$33,$B30,Setup!$B$16:$B$33,"Stale pipeline"),0)</f>
        <v/>
      </c>
      <c r="U30" s="16">
        <f>IF(ISNUMBER(I30),O30*I30,0)</f>
        <v/>
      </c>
      <c r="V30" s="16">
        <f>IF(ISNUMBER(J30),P30*J30,0)</f>
        <v/>
      </c>
      <c r="W30" s="16">
        <f>IF(ISNUMBER(K30),Q30*K30,0)</f>
        <v/>
      </c>
      <c r="X30" s="16">
        <f>IF(ISNUMBER(L30),R30*L30,0)</f>
        <v/>
      </c>
      <c r="Y30" s="16">
        <f>IF(ISNUMBER(M30),S30*M30,0)</f>
        <v/>
      </c>
      <c r="Z30" s="16">
        <f>IF(ISNUMBER(N30),T30*N30,0)</f>
        <v/>
      </c>
      <c r="AA30" s="12">
        <f>SUM(O30:T30)</f>
        <v/>
      </c>
      <c r="AB30" s="16">
        <f>IF(OR(A30="",AA30&lt;=0),"",SUM(U30:Z30)/AA30)</f>
        <v/>
      </c>
      <c r="AC30" s="16">
        <f>IF(AND(ISNUMBER(I30),$AA30&gt;0),O30*MAX(0,100-I30)/$AA30,0)</f>
        <v/>
      </c>
      <c r="AD30" s="16">
        <f>IF(AND(ISNUMBER(J30),$AA30&gt;0),P30*MAX(0,100-J30)/$AA30,0)</f>
        <v/>
      </c>
      <c r="AE30" s="16">
        <f>IF(AND(ISNUMBER(K30),$AA30&gt;0),Q30*MAX(0,100-K30)/$AA30,0)</f>
        <v/>
      </c>
      <c r="AF30" s="16">
        <f>IF(AND(ISNUMBER(L30),$AA30&gt;0),R30*MAX(0,100-L30)/$AA30,0)</f>
        <v/>
      </c>
      <c r="AG30" s="16">
        <f>IF(AND(ISNUMBER(M30),$AA30&gt;0),S30*MAX(0,100-M30)/$AA30,0)</f>
        <v/>
      </c>
      <c r="AH30" s="16">
        <f>IF(AND(ISNUMBER(N30),$AA30&gt;0),T30*MAX(0,100-N30)/$AA30,0)</f>
        <v/>
      </c>
      <c r="AI30" s="13">
        <f>IF(AB30="","",IF(MAX(AC30:AH30)&lt;=0,"All at or above target",INDEX($AC$3:$AH$3,MATCH(MAX(AC30:AH30),AC30:AH30,0))))</f>
        <v/>
      </c>
      <c r="AJ30" s="13">
        <f>IF(AB30="","",IF(AB30&gt;=Setup!$B$10,Setup!$A$10,IF(AB30&gt;=Setup!$B$11,Setup!$A$11,IF(AB30&gt;=Setup!$B$12,Setup!$A$12,Setup!$A$13))))</f>
        <v/>
      </c>
      <c r="AK30" s="12">
        <f>IF(AB30="","",COUNTIF(AB$5:AB$34,"&gt;"&amp;AB30)+1)</f>
        <v/>
      </c>
      <c r="AL30" s="12">
        <f>IF(C30="","",COUNTIF(C$5:C$34,"&gt;"&amp;C30)+1)</f>
        <v/>
      </c>
      <c r="AM30" s="13">
        <f>IF(G30="","",IF(Actuals!B30&gt;Actuals!H30,"Under-called",IF(Actuals!B30&lt;Actuals!H30,"Over-called","Exact")))</f>
        <v/>
      </c>
    </row>
    <row r="31">
      <c r="A31" s="13">
        <f>IF(Reps!A31="","",Reps!A31)</f>
        <v/>
      </c>
      <c r="B31" s="13">
        <f>IF(A31="","",Reps!C31)</f>
        <v/>
      </c>
      <c r="C31" s="15">
        <f>IF(OR(A31="",N(Reps!E31)&lt;=0,Actuals!B31=""),"",Actuals!B31/Reps!E31)</f>
        <v/>
      </c>
      <c r="D31" s="15">
        <f>IF(OR(A31="",N(Reps!F31)&lt;=0,Actuals!C31=""),"",Actuals!C31/Reps!F31)</f>
        <v/>
      </c>
      <c r="E31" s="15">
        <f>IF(OR(A31="",N(Actuals!D31)&lt;=0,Actuals!E31=""),"",Actuals!E31/Actuals!D31)</f>
        <v/>
      </c>
      <c r="F31" s="15">
        <f>IF(OR(A31="",N(Actuals!F31)+N(Actuals!G31)&lt;=0),"",N(Actuals!F31)/(N(Actuals!F31)+N(Actuals!G31)))</f>
        <v/>
      </c>
      <c r="G31" s="15">
        <f>IF(OR(A31="",Actuals!H31=""),"",IF(N(Actuals!B31)&lt;=0,IF(N(Actuals!H31)&gt;0,0,""),MAX(0,1-ABS(Actuals!B31-Actuals!H31)/Actuals!B31)))</f>
        <v/>
      </c>
      <c r="H31" s="15">
        <f>IF(OR(A31="",N(Actuals!I31)&lt;=0,Actuals!J31=""),"",Actuals!J31/Actuals!I31)</f>
        <v/>
      </c>
      <c r="I31" s="16">
        <f>IF(OR($A31="",C31=""),"",IF(SUMIFS(Setup!$F$16:$F$33,Setup!$A$16:$A$33,$B31,Setup!$B$16:$B$33,"Quota attainment")=SUMIFS(Setup!$E$16:$E$33,Setup!$A$16:$A$33,$B31,Setup!$B$16:$B$33,"Quota attainment"),"",MAX(0,MIN(SUMIFS(Setup!$G$16:$G$33,Setup!$A$16:$A$33,$B31,Setup!$B$16:$B$33,"Quota attainment"),(C31-SUMIFS(Setup!$E$16:$E$33,Setup!$A$16:$A$33,$B31,Setup!$B$16:$B$33,"Quota attainment"))/(SUMIFS(Setup!$F$16:$F$33,Setup!$A$16:$A$33,$B31,Setup!$B$16:$B$33,"Quota attainment")-SUMIFS(Setup!$E$16:$E$33,Setup!$A$16:$A$33,$B31,Setup!$B$16:$B$33,"Quota attainment"))*100))))</f>
        <v/>
      </c>
      <c r="J31" s="16">
        <f>IF(OR($A31="",D31=""),"",IF(SUMIFS(Setup!$F$16:$F$33,Setup!$A$16:$A$33,$B31,Setup!$B$16:$B$33,"Pipeline created")=SUMIFS(Setup!$E$16:$E$33,Setup!$A$16:$A$33,$B31,Setup!$B$16:$B$33,"Pipeline created"),"",MAX(0,MIN(SUMIFS(Setup!$G$16:$G$33,Setup!$A$16:$A$33,$B31,Setup!$B$16:$B$33,"Pipeline created"),(D31-SUMIFS(Setup!$E$16:$E$33,Setup!$A$16:$A$33,$B31,Setup!$B$16:$B$33,"Pipeline created"))/(SUMIFS(Setup!$F$16:$F$33,Setup!$A$16:$A$33,$B31,Setup!$B$16:$B$33,"Pipeline created")-SUMIFS(Setup!$E$16:$E$33,Setup!$A$16:$A$33,$B31,Setup!$B$16:$B$33,"Pipeline created"))*100))))</f>
        <v/>
      </c>
      <c r="K31" s="16">
        <f>IF(OR($A31="",E31=""),"",IF(SUMIFS(Setup!$F$16:$F$33,Setup!$A$16:$A$33,$B31,Setup!$B$16:$B$33,"Stage conversion")=SUMIFS(Setup!$E$16:$E$33,Setup!$A$16:$A$33,$B31,Setup!$B$16:$B$33,"Stage conversion"),"",MAX(0,MIN(SUMIFS(Setup!$G$16:$G$33,Setup!$A$16:$A$33,$B31,Setup!$B$16:$B$33,"Stage conversion"),(E31-SUMIFS(Setup!$E$16:$E$33,Setup!$A$16:$A$33,$B31,Setup!$B$16:$B$33,"Stage conversion"))/(SUMIFS(Setup!$F$16:$F$33,Setup!$A$16:$A$33,$B31,Setup!$B$16:$B$33,"Stage conversion")-SUMIFS(Setup!$E$16:$E$33,Setup!$A$16:$A$33,$B31,Setup!$B$16:$B$33,"Stage conversion"))*100))))</f>
        <v/>
      </c>
      <c r="L31" s="16">
        <f>IF(OR($A31="",F31=""),"",IF(SUMIFS(Setup!$F$16:$F$33,Setup!$A$16:$A$33,$B31,Setup!$B$16:$B$33,"Win rate")=SUMIFS(Setup!$E$16:$E$33,Setup!$A$16:$A$33,$B31,Setup!$B$16:$B$33,"Win rate"),"",MAX(0,MIN(SUMIFS(Setup!$G$16:$G$33,Setup!$A$16:$A$33,$B31,Setup!$B$16:$B$33,"Win rate"),(F31-SUMIFS(Setup!$E$16:$E$33,Setup!$A$16:$A$33,$B31,Setup!$B$16:$B$33,"Win rate"))/(SUMIFS(Setup!$F$16:$F$33,Setup!$A$16:$A$33,$B31,Setup!$B$16:$B$33,"Win rate")-SUMIFS(Setup!$E$16:$E$33,Setup!$A$16:$A$33,$B31,Setup!$B$16:$B$33,"Win rate"))*100))))</f>
        <v/>
      </c>
      <c r="M31" s="16">
        <f>IF(OR($A31="",G31=""),"",IF(SUMIFS(Setup!$F$16:$F$33,Setup!$A$16:$A$33,$B31,Setup!$B$16:$B$33,"Forecast accuracy")=SUMIFS(Setup!$E$16:$E$33,Setup!$A$16:$A$33,$B31,Setup!$B$16:$B$33,"Forecast accuracy"),"",MAX(0,MIN(SUMIFS(Setup!$G$16:$G$33,Setup!$A$16:$A$33,$B31,Setup!$B$16:$B$33,"Forecast accuracy"),(G31-SUMIFS(Setup!$E$16:$E$33,Setup!$A$16:$A$33,$B31,Setup!$B$16:$B$33,"Forecast accuracy"))/(SUMIFS(Setup!$F$16:$F$33,Setup!$A$16:$A$33,$B31,Setup!$B$16:$B$33,"Forecast accuracy")-SUMIFS(Setup!$E$16:$E$33,Setup!$A$16:$A$33,$B31,Setup!$B$16:$B$33,"Forecast accuracy"))*100))))</f>
        <v/>
      </c>
      <c r="N31" s="16">
        <f>IF(OR($A31="",H31=""),"",IF(SUMIFS(Setup!$F$16:$F$33,Setup!$A$16:$A$33,$B31,Setup!$B$16:$B$33,"Stale pipeline")=SUMIFS(Setup!$E$16:$E$33,Setup!$A$16:$A$33,$B31,Setup!$B$16:$B$33,"Stale pipeline"),"",MAX(0,MIN(SUMIFS(Setup!$G$16:$G$33,Setup!$A$16:$A$33,$B31,Setup!$B$16:$B$33,"Stale pipeline"),(H31-SUMIFS(Setup!$E$16:$E$33,Setup!$A$16:$A$33,$B31,Setup!$B$16:$B$33,"Stale pipeline"))/(SUMIFS(Setup!$F$16:$F$33,Setup!$A$16:$A$33,$B31,Setup!$B$16:$B$33,"Stale pipeline")-SUMIFS(Setup!$E$16:$E$33,Setup!$A$16:$A$33,$B31,Setup!$B$16:$B$33,"Stale pipeline"))*100))))</f>
        <v/>
      </c>
      <c r="O31" s="12">
        <f>IF(ISNUMBER(I31),SUMIFS(Setup!$D$16:$D$33,Setup!$A$16:$A$33,$B31,Setup!$B$16:$B$33,"Quota attainment"),0)</f>
        <v/>
      </c>
      <c r="P31" s="12">
        <f>IF(ISNUMBER(J31),SUMIFS(Setup!$D$16:$D$33,Setup!$A$16:$A$33,$B31,Setup!$B$16:$B$33,"Pipeline created"),0)</f>
        <v/>
      </c>
      <c r="Q31" s="12">
        <f>IF(ISNUMBER(K31),SUMIFS(Setup!$D$16:$D$33,Setup!$A$16:$A$33,$B31,Setup!$B$16:$B$33,"Stage conversion"),0)</f>
        <v/>
      </c>
      <c r="R31" s="12">
        <f>IF(ISNUMBER(L31),SUMIFS(Setup!$D$16:$D$33,Setup!$A$16:$A$33,$B31,Setup!$B$16:$B$33,"Win rate"),0)</f>
        <v/>
      </c>
      <c r="S31" s="12">
        <f>IF(ISNUMBER(M31),SUMIFS(Setup!$D$16:$D$33,Setup!$A$16:$A$33,$B31,Setup!$B$16:$B$33,"Forecast accuracy"),0)</f>
        <v/>
      </c>
      <c r="T31" s="12">
        <f>IF(ISNUMBER(N31),SUMIFS(Setup!$D$16:$D$33,Setup!$A$16:$A$33,$B31,Setup!$B$16:$B$33,"Stale pipeline"),0)</f>
        <v/>
      </c>
      <c r="U31" s="16">
        <f>IF(ISNUMBER(I31),O31*I31,0)</f>
        <v/>
      </c>
      <c r="V31" s="16">
        <f>IF(ISNUMBER(J31),P31*J31,0)</f>
        <v/>
      </c>
      <c r="W31" s="16">
        <f>IF(ISNUMBER(K31),Q31*K31,0)</f>
        <v/>
      </c>
      <c r="X31" s="16">
        <f>IF(ISNUMBER(L31),R31*L31,0)</f>
        <v/>
      </c>
      <c r="Y31" s="16">
        <f>IF(ISNUMBER(M31),S31*M31,0)</f>
        <v/>
      </c>
      <c r="Z31" s="16">
        <f>IF(ISNUMBER(N31),T31*N31,0)</f>
        <v/>
      </c>
      <c r="AA31" s="12">
        <f>SUM(O31:T31)</f>
        <v/>
      </c>
      <c r="AB31" s="16">
        <f>IF(OR(A31="",AA31&lt;=0),"",SUM(U31:Z31)/AA31)</f>
        <v/>
      </c>
      <c r="AC31" s="16">
        <f>IF(AND(ISNUMBER(I31),$AA31&gt;0),O31*MAX(0,100-I31)/$AA31,0)</f>
        <v/>
      </c>
      <c r="AD31" s="16">
        <f>IF(AND(ISNUMBER(J31),$AA31&gt;0),P31*MAX(0,100-J31)/$AA31,0)</f>
        <v/>
      </c>
      <c r="AE31" s="16">
        <f>IF(AND(ISNUMBER(K31),$AA31&gt;0),Q31*MAX(0,100-K31)/$AA31,0)</f>
        <v/>
      </c>
      <c r="AF31" s="16">
        <f>IF(AND(ISNUMBER(L31),$AA31&gt;0),R31*MAX(0,100-L31)/$AA31,0)</f>
        <v/>
      </c>
      <c r="AG31" s="16">
        <f>IF(AND(ISNUMBER(M31),$AA31&gt;0),S31*MAX(0,100-M31)/$AA31,0)</f>
        <v/>
      </c>
      <c r="AH31" s="16">
        <f>IF(AND(ISNUMBER(N31),$AA31&gt;0),T31*MAX(0,100-N31)/$AA31,0)</f>
        <v/>
      </c>
      <c r="AI31" s="13">
        <f>IF(AB31="","",IF(MAX(AC31:AH31)&lt;=0,"All at or above target",INDEX($AC$3:$AH$3,MATCH(MAX(AC31:AH31),AC31:AH31,0))))</f>
        <v/>
      </c>
      <c r="AJ31" s="13">
        <f>IF(AB31="","",IF(AB31&gt;=Setup!$B$10,Setup!$A$10,IF(AB31&gt;=Setup!$B$11,Setup!$A$11,IF(AB31&gt;=Setup!$B$12,Setup!$A$12,Setup!$A$13))))</f>
        <v/>
      </c>
      <c r="AK31" s="12">
        <f>IF(AB31="","",COUNTIF(AB$5:AB$34,"&gt;"&amp;AB31)+1)</f>
        <v/>
      </c>
      <c r="AL31" s="12">
        <f>IF(C31="","",COUNTIF(C$5:C$34,"&gt;"&amp;C31)+1)</f>
        <v/>
      </c>
      <c r="AM31" s="13">
        <f>IF(G31="","",IF(Actuals!B31&gt;Actuals!H31,"Under-called",IF(Actuals!B31&lt;Actuals!H31,"Over-called","Exact")))</f>
        <v/>
      </c>
    </row>
    <row r="32">
      <c r="A32" s="13">
        <f>IF(Reps!A32="","",Reps!A32)</f>
        <v/>
      </c>
      <c r="B32" s="13">
        <f>IF(A32="","",Reps!C32)</f>
        <v/>
      </c>
      <c r="C32" s="15">
        <f>IF(OR(A32="",N(Reps!E32)&lt;=0,Actuals!B32=""),"",Actuals!B32/Reps!E32)</f>
        <v/>
      </c>
      <c r="D32" s="15">
        <f>IF(OR(A32="",N(Reps!F32)&lt;=0,Actuals!C32=""),"",Actuals!C32/Reps!F32)</f>
        <v/>
      </c>
      <c r="E32" s="15">
        <f>IF(OR(A32="",N(Actuals!D32)&lt;=0,Actuals!E32=""),"",Actuals!E32/Actuals!D32)</f>
        <v/>
      </c>
      <c r="F32" s="15">
        <f>IF(OR(A32="",N(Actuals!F32)+N(Actuals!G32)&lt;=0),"",N(Actuals!F32)/(N(Actuals!F32)+N(Actuals!G32)))</f>
        <v/>
      </c>
      <c r="G32" s="15">
        <f>IF(OR(A32="",Actuals!H32=""),"",IF(N(Actuals!B32)&lt;=0,IF(N(Actuals!H32)&gt;0,0,""),MAX(0,1-ABS(Actuals!B32-Actuals!H32)/Actuals!B32)))</f>
        <v/>
      </c>
      <c r="H32" s="15">
        <f>IF(OR(A32="",N(Actuals!I32)&lt;=0,Actuals!J32=""),"",Actuals!J32/Actuals!I32)</f>
        <v/>
      </c>
      <c r="I32" s="16">
        <f>IF(OR($A32="",C32=""),"",IF(SUMIFS(Setup!$F$16:$F$33,Setup!$A$16:$A$33,$B32,Setup!$B$16:$B$33,"Quota attainment")=SUMIFS(Setup!$E$16:$E$33,Setup!$A$16:$A$33,$B32,Setup!$B$16:$B$33,"Quota attainment"),"",MAX(0,MIN(SUMIFS(Setup!$G$16:$G$33,Setup!$A$16:$A$33,$B32,Setup!$B$16:$B$33,"Quota attainment"),(C32-SUMIFS(Setup!$E$16:$E$33,Setup!$A$16:$A$33,$B32,Setup!$B$16:$B$33,"Quota attainment"))/(SUMIFS(Setup!$F$16:$F$33,Setup!$A$16:$A$33,$B32,Setup!$B$16:$B$33,"Quota attainment")-SUMIFS(Setup!$E$16:$E$33,Setup!$A$16:$A$33,$B32,Setup!$B$16:$B$33,"Quota attainment"))*100))))</f>
        <v/>
      </c>
      <c r="J32" s="16">
        <f>IF(OR($A32="",D32=""),"",IF(SUMIFS(Setup!$F$16:$F$33,Setup!$A$16:$A$33,$B32,Setup!$B$16:$B$33,"Pipeline created")=SUMIFS(Setup!$E$16:$E$33,Setup!$A$16:$A$33,$B32,Setup!$B$16:$B$33,"Pipeline created"),"",MAX(0,MIN(SUMIFS(Setup!$G$16:$G$33,Setup!$A$16:$A$33,$B32,Setup!$B$16:$B$33,"Pipeline created"),(D32-SUMIFS(Setup!$E$16:$E$33,Setup!$A$16:$A$33,$B32,Setup!$B$16:$B$33,"Pipeline created"))/(SUMIFS(Setup!$F$16:$F$33,Setup!$A$16:$A$33,$B32,Setup!$B$16:$B$33,"Pipeline created")-SUMIFS(Setup!$E$16:$E$33,Setup!$A$16:$A$33,$B32,Setup!$B$16:$B$33,"Pipeline created"))*100))))</f>
        <v/>
      </c>
      <c r="K32" s="16">
        <f>IF(OR($A32="",E32=""),"",IF(SUMIFS(Setup!$F$16:$F$33,Setup!$A$16:$A$33,$B32,Setup!$B$16:$B$33,"Stage conversion")=SUMIFS(Setup!$E$16:$E$33,Setup!$A$16:$A$33,$B32,Setup!$B$16:$B$33,"Stage conversion"),"",MAX(0,MIN(SUMIFS(Setup!$G$16:$G$33,Setup!$A$16:$A$33,$B32,Setup!$B$16:$B$33,"Stage conversion"),(E32-SUMIFS(Setup!$E$16:$E$33,Setup!$A$16:$A$33,$B32,Setup!$B$16:$B$33,"Stage conversion"))/(SUMIFS(Setup!$F$16:$F$33,Setup!$A$16:$A$33,$B32,Setup!$B$16:$B$33,"Stage conversion")-SUMIFS(Setup!$E$16:$E$33,Setup!$A$16:$A$33,$B32,Setup!$B$16:$B$33,"Stage conversion"))*100))))</f>
        <v/>
      </c>
      <c r="L32" s="16">
        <f>IF(OR($A32="",F32=""),"",IF(SUMIFS(Setup!$F$16:$F$33,Setup!$A$16:$A$33,$B32,Setup!$B$16:$B$33,"Win rate")=SUMIFS(Setup!$E$16:$E$33,Setup!$A$16:$A$33,$B32,Setup!$B$16:$B$33,"Win rate"),"",MAX(0,MIN(SUMIFS(Setup!$G$16:$G$33,Setup!$A$16:$A$33,$B32,Setup!$B$16:$B$33,"Win rate"),(F32-SUMIFS(Setup!$E$16:$E$33,Setup!$A$16:$A$33,$B32,Setup!$B$16:$B$33,"Win rate"))/(SUMIFS(Setup!$F$16:$F$33,Setup!$A$16:$A$33,$B32,Setup!$B$16:$B$33,"Win rate")-SUMIFS(Setup!$E$16:$E$33,Setup!$A$16:$A$33,$B32,Setup!$B$16:$B$33,"Win rate"))*100))))</f>
        <v/>
      </c>
      <c r="M32" s="16">
        <f>IF(OR($A32="",G32=""),"",IF(SUMIFS(Setup!$F$16:$F$33,Setup!$A$16:$A$33,$B32,Setup!$B$16:$B$33,"Forecast accuracy")=SUMIFS(Setup!$E$16:$E$33,Setup!$A$16:$A$33,$B32,Setup!$B$16:$B$33,"Forecast accuracy"),"",MAX(0,MIN(SUMIFS(Setup!$G$16:$G$33,Setup!$A$16:$A$33,$B32,Setup!$B$16:$B$33,"Forecast accuracy"),(G32-SUMIFS(Setup!$E$16:$E$33,Setup!$A$16:$A$33,$B32,Setup!$B$16:$B$33,"Forecast accuracy"))/(SUMIFS(Setup!$F$16:$F$33,Setup!$A$16:$A$33,$B32,Setup!$B$16:$B$33,"Forecast accuracy")-SUMIFS(Setup!$E$16:$E$33,Setup!$A$16:$A$33,$B32,Setup!$B$16:$B$33,"Forecast accuracy"))*100))))</f>
        <v/>
      </c>
      <c r="N32" s="16">
        <f>IF(OR($A32="",H32=""),"",IF(SUMIFS(Setup!$F$16:$F$33,Setup!$A$16:$A$33,$B32,Setup!$B$16:$B$33,"Stale pipeline")=SUMIFS(Setup!$E$16:$E$33,Setup!$A$16:$A$33,$B32,Setup!$B$16:$B$33,"Stale pipeline"),"",MAX(0,MIN(SUMIFS(Setup!$G$16:$G$33,Setup!$A$16:$A$33,$B32,Setup!$B$16:$B$33,"Stale pipeline"),(H32-SUMIFS(Setup!$E$16:$E$33,Setup!$A$16:$A$33,$B32,Setup!$B$16:$B$33,"Stale pipeline"))/(SUMIFS(Setup!$F$16:$F$33,Setup!$A$16:$A$33,$B32,Setup!$B$16:$B$33,"Stale pipeline")-SUMIFS(Setup!$E$16:$E$33,Setup!$A$16:$A$33,$B32,Setup!$B$16:$B$33,"Stale pipeline"))*100))))</f>
        <v/>
      </c>
      <c r="O32" s="12">
        <f>IF(ISNUMBER(I32),SUMIFS(Setup!$D$16:$D$33,Setup!$A$16:$A$33,$B32,Setup!$B$16:$B$33,"Quota attainment"),0)</f>
        <v/>
      </c>
      <c r="P32" s="12">
        <f>IF(ISNUMBER(J32),SUMIFS(Setup!$D$16:$D$33,Setup!$A$16:$A$33,$B32,Setup!$B$16:$B$33,"Pipeline created"),0)</f>
        <v/>
      </c>
      <c r="Q32" s="12">
        <f>IF(ISNUMBER(K32),SUMIFS(Setup!$D$16:$D$33,Setup!$A$16:$A$33,$B32,Setup!$B$16:$B$33,"Stage conversion"),0)</f>
        <v/>
      </c>
      <c r="R32" s="12">
        <f>IF(ISNUMBER(L32),SUMIFS(Setup!$D$16:$D$33,Setup!$A$16:$A$33,$B32,Setup!$B$16:$B$33,"Win rate"),0)</f>
        <v/>
      </c>
      <c r="S32" s="12">
        <f>IF(ISNUMBER(M32),SUMIFS(Setup!$D$16:$D$33,Setup!$A$16:$A$33,$B32,Setup!$B$16:$B$33,"Forecast accuracy"),0)</f>
        <v/>
      </c>
      <c r="T32" s="12">
        <f>IF(ISNUMBER(N32),SUMIFS(Setup!$D$16:$D$33,Setup!$A$16:$A$33,$B32,Setup!$B$16:$B$33,"Stale pipeline"),0)</f>
        <v/>
      </c>
      <c r="U32" s="16">
        <f>IF(ISNUMBER(I32),O32*I32,0)</f>
        <v/>
      </c>
      <c r="V32" s="16">
        <f>IF(ISNUMBER(J32),P32*J32,0)</f>
        <v/>
      </c>
      <c r="W32" s="16">
        <f>IF(ISNUMBER(K32),Q32*K32,0)</f>
        <v/>
      </c>
      <c r="X32" s="16">
        <f>IF(ISNUMBER(L32),R32*L32,0)</f>
        <v/>
      </c>
      <c r="Y32" s="16">
        <f>IF(ISNUMBER(M32),S32*M32,0)</f>
        <v/>
      </c>
      <c r="Z32" s="16">
        <f>IF(ISNUMBER(N32),T32*N32,0)</f>
        <v/>
      </c>
      <c r="AA32" s="12">
        <f>SUM(O32:T32)</f>
        <v/>
      </c>
      <c r="AB32" s="16">
        <f>IF(OR(A32="",AA32&lt;=0),"",SUM(U32:Z32)/AA32)</f>
        <v/>
      </c>
      <c r="AC32" s="16">
        <f>IF(AND(ISNUMBER(I32),$AA32&gt;0),O32*MAX(0,100-I32)/$AA32,0)</f>
        <v/>
      </c>
      <c r="AD32" s="16">
        <f>IF(AND(ISNUMBER(J32),$AA32&gt;0),P32*MAX(0,100-J32)/$AA32,0)</f>
        <v/>
      </c>
      <c r="AE32" s="16">
        <f>IF(AND(ISNUMBER(K32),$AA32&gt;0),Q32*MAX(0,100-K32)/$AA32,0)</f>
        <v/>
      </c>
      <c r="AF32" s="16">
        <f>IF(AND(ISNUMBER(L32),$AA32&gt;0),R32*MAX(0,100-L32)/$AA32,0)</f>
        <v/>
      </c>
      <c r="AG32" s="16">
        <f>IF(AND(ISNUMBER(M32),$AA32&gt;0),S32*MAX(0,100-M32)/$AA32,0)</f>
        <v/>
      </c>
      <c r="AH32" s="16">
        <f>IF(AND(ISNUMBER(N32),$AA32&gt;0),T32*MAX(0,100-N32)/$AA32,0)</f>
        <v/>
      </c>
      <c r="AI32" s="13">
        <f>IF(AB32="","",IF(MAX(AC32:AH32)&lt;=0,"All at or above target",INDEX($AC$3:$AH$3,MATCH(MAX(AC32:AH32),AC32:AH32,0))))</f>
        <v/>
      </c>
      <c r="AJ32" s="13">
        <f>IF(AB32="","",IF(AB32&gt;=Setup!$B$10,Setup!$A$10,IF(AB32&gt;=Setup!$B$11,Setup!$A$11,IF(AB32&gt;=Setup!$B$12,Setup!$A$12,Setup!$A$13))))</f>
        <v/>
      </c>
      <c r="AK32" s="12">
        <f>IF(AB32="","",COUNTIF(AB$5:AB$34,"&gt;"&amp;AB32)+1)</f>
        <v/>
      </c>
      <c r="AL32" s="12">
        <f>IF(C32="","",COUNTIF(C$5:C$34,"&gt;"&amp;C32)+1)</f>
        <v/>
      </c>
      <c r="AM32" s="13">
        <f>IF(G32="","",IF(Actuals!B32&gt;Actuals!H32,"Under-called",IF(Actuals!B32&lt;Actuals!H32,"Over-called","Exact")))</f>
        <v/>
      </c>
    </row>
    <row r="33">
      <c r="A33" s="13">
        <f>IF(Reps!A33="","",Reps!A33)</f>
        <v/>
      </c>
      <c r="B33" s="13">
        <f>IF(A33="","",Reps!C33)</f>
        <v/>
      </c>
      <c r="C33" s="15">
        <f>IF(OR(A33="",N(Reps!E33)&lt;=0,Actuals!B33=""),"",Actuals!B33/Reps!E33)</f>
        <v/>
      </c>
      <c r="D33" s="15">
        <f>IF(OR(A33="",N(Reps!F33)&lt;=0,Actuals!C33=""),"",Actuals!C33/Reps!F33)</f>
        <v/>
      </c>
      <c r="E33" s="15">
        <f>IF(OR(A33="",N(Actuals!D33)&lt;=0,Actuals!E33=""),"",Actuals!E33/Actuals!D33)</f>
        <v/>
      </c>
      <c r="F33" s="15">
        <f>IF(OR(A33="",N(Actuals!F33)+N(Actuals!G33)&lt;=0),"",N(Actuals!F33)/(N(Actuals!F33)+N(Actuals!G33)))</f>
        <v/>
      </c>
      <c r="G33" s="15">
        <f>IF(OR(A33="",Actuals!H33=""),"",IF(N(Actuals!B33)&lt;=0,IF(N(Actuals!H33)&gt;0,0,""),MAX(0,1-ABS(Actuals!B33-Actuals!H33)/Actuals!B33)))</f>
        <v/>
      </c>
      <c r="H33" s="15">
        <f>IF(OR(A33="",N(Actuals!I33)&lt;=0,Actuals!J33=""),"",Actuals!J33/Actuals!I33)</f>
        <v/>
      </c>
      <c r="I33" s="16">
        <f>IF(OR($A33="",C33=""),"",IF(SUMIFS(Setup!$F$16:$F$33,Setup!$A$16:$A$33,$B33,Setup!$B$16:$B$33,"Quota attainment")=SUMIFS(Setup!$E$16:$E$33,Setup!$A$16:$A$33,$B33,Setup!$B$16:$B$33,"Quota attainment"),"",MAX(0,MIN(SUMIFS(Setup!$G$16:$G$33,Setup!$A$16:$A$33,$B33,Setup!$B$16:$B$33,"Quota attainment"),(C33-SUMIFS(Setup!$E$16:$E$33,Setup!$A$16:$A$33,$B33,Setup!$B$16:$B$33,"Quota attainment"))/(SUMIFS(Setup!$F$16:$F$33,Setup!$A$16:$A$33,$B33,Setup!$B$16:$B$33,"Quota attainment")-SUMIFS(Setup!$E$16:$E$33,Setup!$A$16:$A$33,$B33,Setup!$B$16:$B$33,"Quota attainment"))*100))))</f>
        <v/>
      </c>
      <c r="J33" s="16">
        <f>IF(OR($A33="",D33=""),"",IF(SUMIFS(Setup!$F$16:$F$33,Setup!$A$16:$A$33,$B33,Setup!$B$16:$B$33,"Pipeline created")=SUMIFS(Setup!$E$16:$E$33,Setup!$A$16:$A$33,$B33,Setup!$B$16:$B$33,"Pipeline created"),"",MAX(0,MIN(SUMIFS(Setup!$G$16:$G$33,Setup!$A$16:$A$33,$B33,Setup!$B$16:$B$33,"Pipeline created"),(D33-SUMIFS(Setup!$E$16:$E$33,Setup!$A$16:$A$33,$B33,Setup!$B$16:$B$33,"Pipeline created"))/(SUMIFS(Setup!$F$16:$F$33,Setup!$A$16:$A$33,$B33,Setup!$B$16:$B$33,"Pipeline created")-SUMIFS(Setup!$E$16:$E$33,Setup!$A$16:$A$33,$B33,Setup!$B$16:$B$33,"Pipeline created"))*100))))</f>
        <v/>
      </c>
      <c r="K33" s="16">
        <f>IF(OR($A33="",E33=""),"",IF(SUMIFS(Setup!$F$16:$F$33,Setup!$A$16:$A$33,$B33,Setup!$B$16:$B$33,"Stage conversion")=SUMIFS(Setup!$E$16:$E$33,Setup!$A$16:$A$33,$B33,Setup!$B$16:$B$33,"Stage conversion"),"",MAX(0,MIN(SUMIFS(Setup!$G$16:$G$33,Setup!$A$16:$A$33,$B33,Setup!$B$16:$B$33,"Stage conversion"),(E33-SUMIFS(Setup!$E$16:$E$33,Setup!$A$16:$A$33,$B33,Setup!$B$16:$B$33,"Stage conversion"))/(SUMIFS(Setup!$F$16:$F$33,Setup!$A$16:$A$33,$B33,Setup!$B$16:$B$33,"Stage conversion")-SUMIFS(Setup!$E$16:$E$33,Setup!$A$16:$A$33,$B33,Setup!$B$16:$B$33,"Stage conversion"))*100))))</f>
        <v/>
      </c>
      <c r="L33" s="16">
        <f>IF(OR($A33="",F33=""),"",IF(SUMIFS(Setup!$F$16:$F$33,Setup!$A$16:$A$33,$B33,Setup!$B$16:$B$33,"Win rate")=SUMIFS(Setup!$E$16:$E$33,Setup!$A$16:$A$33,$B33,Setup!$B$16:$B$33,"Win rate"),"",MAX(0,MIN(SUMIFS(Setup!$G$16:$G$33,Setup!$A$16:$A$33,$B33,Setup!$B$16:$B$33,"Win rate"),(F33-SUMIFS(Setup!$E$16:$E$33,Setup!$A$16:$A$33,$B33,Setup!$B$16:$B$33,"Win rate"))/(SUMIFS(Setup!$F$16:$F$33,Setup!$A$16:$A$33,$B33,Setup!$B$16:$B$33,"Win rate")-SUMIFS(Setup!$E$16:$E$33,Setup!$A$16:$A$33,$B33,Setup!$B$16:$B$33,"Win rate"))*100))))</f>
        <v/>
      </c>
      <c r="M33" s="16">
        <f>IF(OR($A33="",G33=""),"",IF(SUMIFS(Setup!$F$16:$F$33,Setup!$A$16:$A$33,$B33,Setup!$B$16:$B$33,"Forecast accuracy")=SUMIFS(Setup!$E$16:$E$33,Setup!$A$16:$A$33,$B33,Setup!$B$16:$B$33,"Forecast accuracy"),"",MAX(0,MIN(SUMIFS(Setup!$G$16:$G$33,Setup!$A$16:$A$33,$B33,Setup!$B$16:$B$33,"Forecast accuracy"),(G33-SUMIFS(Setup!$E$16:$E$33,Setup!$A$16:$A$33,$B33,Setup!$B$16:$B$33,"Forecast accuracy"))/(SUMIFS(Setup!$F$16:$F$33,Setup!$A$16:$A$33,$B33,Setup!$B$16:$B$33,"Forecast accuracy")-SUMIFS(Setup!$E$16:$E$33,Setup!$A$16:$A$33,$B33,Setup!$B$16:$B$33,"Forecast accuracy"))*100))))</f>
        <v/>
      </c>
      <c r="N33" s="16">
        <f>IF(OR($A33="",H33=""),"",IF(SUMIFS(Setup!$F$16:$F$33,Setup!$A$16:$A$33,$B33,Setup!$B$16:$B$33,"Stale pipeline")=SUMIFS(Setup!$E$16:$E$33,Setup!$A$16:$A$33,$B33,Setup!$B$16:$B$33,"Stale pipeline"),"",MAX(0,MIN(SUMIFS(Setup!$G$16:$G$33,Setup!$A$16:$A$33,$B33,Setup!$B$16:$B$33,"Stale pipeline"),(H33-SUMIFS(Setup!$E$16:$E$33,Setup!$A$16:$A$33,$B33,Setup!$B$16:$B$33,"Stale pipeline"))/(SUMIFS(Setup!$F$16:$F$33,Setup!$A$16:$A$33,$B33,Setup!$B$16:$B$33,"Stale pipeline")-SUMIFS(Setup!$E$16:$E$33,Setup!$A$16:$A$33,$B33,Setup!$B$16:$B$33,"Stale pipeline"))*100))))</f>
        <v/>
      </c>
      <c r="O33" s="12">
        <f>IF(ISNUMBER(I33),SUMIFS(Setup!$D$16:$D$33,Setup!$A$16:$A$33,$B33,Setup!$B$16:$B$33,"Quota attainment"),0)</f>
        <v/>
      </c>
      <c r="P33" s="12">
        <f>IF(ISNUMBER(J33),SUMIFS(Setup!$D$16:$D$33,Setup!$A$16:$A$33,$B33,Setup!$B$16:$B$33,"Pipeline created"),0)</f>
        <v/>
      </c>
      <c r="Q33" s="12">
        <f>IF(ISNUMBER(K33),SUMIFS(Setup!$D$16:$D$33,Setup!$A$16:$A$33,$B33,Setup!$B$16:$B$33,"Stage conversion"),0)</f>
        <v/>
      </c>
      <c r="R33" s="12">
        <f>IF(ISNUMBER(L33),SUMIFS(Setup!$D$16:$D$33,Setup!$A$16:$A$33,$B33,Setup!$B$16:$B$33,"Win rate"),0)</f>
        <v/>
      </c>
      <c r="S33" s="12">
        <f>IF(ISNUMBER(M33),SUMIFS(Setup!$D$16:$D$33,Setup!$A$16:$A$33,$B33,Setup!$B$16:$B$33,"Forecast accuracy"),0)</f>
        <v/>
      </c>
      <c r="T33" s="12">
        <f>IF(ISNUMBER(N33),SUMIFS(Setup!$D$16:$D$33,Setup!$A$16:$A$33,$B33,Setup!$B$16:$B$33,"Stale pipeline"),0)</f>
        <v/>
      </c>
      <c r="U33" s="16">
        <f>IF(ISNUMBER(I33),O33*I33,0)</f>
        <v/>
      </c>
      <c r="V33" s="16">
        <f>IF(ISNUMBER(J33),P33*J33,0)</f>
        <v/>
      </c>
      <c r="W33" s="16">
        <f>IF(ISNUMBER(K33),Q33*K33,0)</f>
        <v/>
      </c>
      <c r="X33" s="16">
        <f>IF(ISNUMBER(L33),R33*L33,0)</f>
        <v/>
      </c>
      <c r="Y33" s="16">
        <f>IF(ISNUMBER(M33),S33*M33,0)</f>
        <v/>
      </c>
      <c r="Z33" s="16">
        <f>IF(ISNUMBER(N33),T33*N33,0)</f>
        <v/>
      </c>
      <c r="AA33" s="12">
        <f>SUM(O33:T33)</f>
        <v/>
      </c>
      <c r="AB33" s="16">
        <f>IF(OR(A33="",AA33&lt;=0),"",SUM(U33:Z33)/AA33)</f>
        <v/>
      </c>
      <c r="AC33" s="16">
        <f>IF(AND(ISNUMBER(I33),$AA33&gt;0),O33*MAX(0,100-I33)/$AA33,0)</f>
        <v/>
      </c>
      <c r="AD33" s="16">
        <f>IF(AND(ISNUMBER(J33),$AA33&gt;0),P33*MAX(0,100-J33)/$AA33,0)</f>
        <v/>
      </c>
      <c r="AE33" s="16">
        <f>IF(AND(ISNUMBER(K33),$AA33&gt;0),Q33*MAX(0,100-K33)/$AA33,0)</f>
        <v/>
      </c>
      <c r="AF33" s="16">
        <f>IF(AND(ISNUMBER(L33),$AA33&gt;0),R33*MAX(0,100-L33)/$AA33,0)</f>
        <v/>
      </c>
      <c r="AG33" s="16">
        <f>IF(AND(ISNUMBER(M33),$AA33&gt;0),S33*MAX(0,100-M33)/$AA33,0)</f>
        <v/>
      </c>
      <c r="AH33" s="16">
        <f>IF(AND(ISNUMBER(N33),$AA33&gt;0),T33*MAX(0,100-N33)/$AA33,0)</f>
        <v/>
      </c>
      <c r="AI33" s="13">
        <f>IF(AB33="","",IF(MAX(AC33:AH33)&lt;=0,"All at or above target",INDEX($AC$3:$AH$3,MATCH(MAX(AC33:AH33),AC33:AH33,0))))</f>
        <v/>
      </c>
      <c r="AJ33" s="13">
        <f>IF(AB33="","",IF(AB33&gt;=Setup!$B$10,Setup!$A$10,IF(AB33&gt;=Setup!$B$11,Setup!$A$11,IF(AB33&gt;=Setup!$B$12,Setup!$A$12,Setup!$A$13))))</f>
        <v/>
      </c>
      <c r="AK33" s="12">
        <f>IF(AB33="","",COUNTIF(AB$5:AB$34,"&gt;"&amp;AB33)+1)</f>
        <v/>
      </c>
      <c r="AL33" s="12">
        <f>IF(C33="","",COUNTIF(C$5:C$34,"&gt;"&amp;C33)+1)</f>
        <v/>
      </c>
      <c r="AM33" s="13">
        <f>IF(G33="","",IF(Actuals!B33&gt;Actuals!H33,"Under-called",IF(Actuals!B33&lt;Actuals!H33,"Over-called","Exact")))</f>
        <v/>
      </c>
    </row>
    <row r="34">
      <c r="A34" s="13">
        <f>IF(Reps!A34="","",Reps!A34)</f>
        <v/>
      </c>
      <c r="B34" s="13">
        <f>IF(A34="","",Reps!C34)</f>
        <v/>
      </c>
      <c r="C34" s="15">
        <f>IF(OR(A34="",N(Reps!E34)&lt;=0,Actuals!B34=""),"",Actuals!B34/Reps!E34)</f>
        <v/>
      </c>
      <c r="D34" s="15">
        <f>IF(OR(A34="",N(Reps!F34)&lt;=0,Actuals!C34=""),"",Actuals!C34/Reps!F34)</f>
        <v/>
      </c>
      <c r="E34" s="15">
        <f>IF(OR(A34="",N(Actuals!D34)&lt;=0,Actuals!E34=""),"",Actuals!E34/Actuals!D34)</f>
        <v/>
      </c>
      <c r="F34" s="15">
        <f>IF(OR(A34="",N(Actuals!F34)+N(Actuals!G34)&lt;=0),"",N(Actuals!F34)/(N(Actuals!F34)+N(Actuals!G34)))</f>
        <v/>
      </c>
      <c r="G34" s="15">
        <f>IF(OR(A34="",Actuals!H34=""),"",IF(N(Actuals!B34)&lt;=0,IF(N(Actuals!H34)&gt;0,0,""),MAX(0,1-ABS(Actuals!B34-Actuals!H34)/Actuals!B34)))</f>
        <v/>
      </c>
      <c r="H34" s="15">
        <f>IF(OR(A34="",N(Actuals!I34)&lt;=0,Actuals!J34=""),"",Actuals!J34/Actuals!I34)</f>
        <v/>
      </c>
      <c r="I34" s="16">
        <f>IF(OR($A34="",C34=""),"",IF(SUMIFS(Setup!$F$16:$F$33,Setup!$A$16:$A$33,$B34,Setup!$B$16:$B$33,"Quota attainment")=SUMIFS(Setup!$E$16:$E$33,Setup!$A$16:$A$33,$B34,Setup!$B$16:$B$33,"Quota attainment"),"",MAX(0,MIN(SUMIFS(Setup!$G$16:$G$33,Setup!$A$16:$A$33,$B34,Setup!$B$16:$B$33,"Quota attainment"),(C34-SUMIFS(Setup!$E$16:$E$33,Setup!$A$16:$A$33,$B34,Setup!$B$16:$B$33,"Quota attainment"))/(SUMIFS(Setup!$F$16:$F$33,Setup!$A$16:$A$33,$B34,Setup!$B$16:$B$33,"Quota attainment")-SUMIFS(Setup!$E$16:$E$33,Setup!$A$16:$A$33,$B34,Setup!$B$16:$B$33,"Quota attainment"))*100))))</f>
        <v/>
      </c>
      <c r="J34" s="16">
        <f>IF(OR($A34="",D34=""),"",IF(SUMIFS(Setup!$F$16:$F$33,Setup!$A$16:$A$33,$B34,Setup!$B$16:$B$33,"Pipeline created")=SUMIFS(Setup!$E$16:$E$33,Setup!$A$16:$A$33,$B34,Setup!$B$16:$B$33,"Pipeline created"),"",MAX(0,MIN(SUMIFS(Setup!$G$16:$G$33,Setup!$A$16:$A$33,$B34,Setup!$B$16:$B$33,"Pipeline created"),(D34-SUMIFS(Setup!$E$16:$E$33,Setup!$A$16:$A$33,$B34,Setup!$B$16:$B$33,"Pipeline created"))/(SUMIFS(Setup!$F$16:$F$33,Setup!$A$16:$A$33,$B34,Setup!$B$16:$B$33,"Pipeline created")-SUMIFS(Setup!$E$16:$E$33,Setup!$A$16:$A$33,$B34,Setup!$B$16:$B$33,"Pipeline created"))*100))))</f>
        <v/>
      </c>
      <c r="K34" s="16">
        <f>IF(OR($A34="",E34=""),"",IF(SUMIFS(Setup!$F$16:$F$33,Setup!$A$16:$A$33,$B34,Setup!$B$16:$B$33,"Stage conversion")=SUMIFS(Setup!$E$16:$E$33,Setup!$A$16:$A$33,$B34,Setup!$B$16:$B$33,"Stage conversion"),"",MAX(0,MIN(SUMIFS(Setup!$G$16:$G$33,Setup!$A$16:$A$33,$B34,Setup!$B$16:$B$33,"Stage conversion"),(E34-SUMIFS(Setup!$E$16:$E$33,Setup!$A$16:$A$33,$B34,Setup!$B$16:$B$33,"Stage conversion"))/(SUMIFS(Setup!$F$16:$F$33,Setup!$A$16:$A$33,$B34,Setup!$B$16:$B$33,"Stage conversion")-SUMIFS(Setup!$E$16:$E$33,Setup!$A$16:$A$33,$B34,Setup!$B$16:$B$33,"Stage conversion"))*100))))</f>
        <v/>
      </c>
      <c r="L34" s="16">
        <f>IF(OR($A34="",F34=""),"",IF(SUMIFS(Setup!$F$16:$F$33,Setup!$A$16:$A$33,$B34,Setup!$B$16:$B$33,"Win rate")=SUMIFS(Setup!$E$16:$E$33,Setup!$A$16:$A$33,$B34,Setup!$B$16:$B$33,"Win rate"),"",MAX(0,MIN(SUMIFS(Setup!$G$16:$G$33,Setup!$A$16:$A$33,$B34,Setup!$B$16:$B$33,"Win rate"),(F34-SUMIFS(Setup!$E$16:$E$33,Setup!$A$16:$A$33,$B34,Setup!$B$16:$B$33,"Win rate"))/(SUMIFS(Setup!$F$16:$F$33,Setup!$A$16:$A$33,$B34,Setup!$B$16:$B$33,"Win rate")-SUMIFS(Setup!$E$16:$E$33,Setup!$A$16:$A$33,$B34,Setup!$B$16:$B$33,"Win rate"))*100))))</f>
        <v/>
      </c>
      <c r="M34" s="16">
        <f>IF(OR($A34="",G34=""),"",IF(SUMIFS(Setup!$F$16:$F$33,Setup!$A$16:$A$33,$B34,Setup!$B$16:$B$33,"Forecast accuracy")=SUMIFS(Setup!$E$16:$E$33,Setup!$A$16:$A$33,$B34,Setup!$B$16:$B$33,"Forecast accuracy"),"",MAX(0,MIN(SUMIFS(Setup!$G$16:$G$33,Setup!$A$16:$A$33,$B34,Setup!$B$16:$B$33,"Forecast accuracy"),(G34-SUMIFS(Setup!$E$16:$E$33,Setup!$A$16:$A$33,$B34,Setup!$B$16:$B$33,"Forecast accuracy"))/(SUMIFS(Setup!$F$16:$F$33,Setup!$A$16:$A$33,$B34,Setup!$B$16:$B$33,"Forecast accuracy")-SUMIFS(Setup!$E$16:$E$33,Setup!$A$16:$A$33,$B34,Setup!$B$16:$B$33,"Forecast accuracy"))*100))))</f>
        <v/>
      </c>
      <c r="N34" s="16">
        <f>IF(OR($A34="",H34=""),"",IF(SUMIFS(Setup!$F$16:$F$33,Setup!$A$16:$A$33,$B34,Setup!$B$16:$B$33,"Stale pipeline")=SUMIFS(Setup!$E$16:$E$33,Setup!$A$16:$A$33,$B34,Setup!$B$16:$B$33,"Stale pipeline"),"",MAX(0,MIN(SUMIFS(Setup!$G$16:$G$33,Setup!$A$16:$A$33,$B34,Setup!$B$16:$B$33,"Stale pipeline"),(H34-SUMIFS(Setup!$E$16:$E$33,Setup!$A$16:$A$33,$B34,Setup!$B$16:$B$33,"Stale pipeline"))/(SUMIFS(Setup!$F$16:$F$33,Setup!$A$16:$A$33,$B34,Setup!$B$16:$B$33,"Stale pipeline")-SUMIFS(Setup!$E$16:$E$33,Setup!$A$16:$A$33,$B34,Setup!$B$16:$B$33,"Stale pipeline"))*100))))</f>
        <v/>
      </c>
      <c r="O34" s="12">
        <f>IF(ISNUMBER(I34),SUMIFS(Setup!$D$16:$D$33,Setup!$A$16:$A$33,$B34,Setup!$B$16:$B$33,"Quota attainment"),0)</f>
        <v/>
      </c>
      <c r="P34" s="12">
        <f>IF(ISNUMBER(J34),SUMIFS(Setup!$D$16:$D$33,Setup!$A$16:$A$33,$B34,Setup!$B$16:$B$33,"Pipeline created"),0)</f>
        <v/>
      </c>
      <c r="Q34" s="12">
        <f>IF(ISNUMBER(K34),SUMIFS(Setup!$D$16:$D$33,Setup!$A$16:$A$33,$B34,Setup!$B$16:$B$33,"Stage conversion"),0)</f>
        <v/>
      </c>
      <c r="R34" s="12">
        <f>IF(ISNUMBER(L34),SUMIFS(Setup!$D$16:$D$33,Setup!$A$16:$A$33,$B34,Setup!$B$16:$B$33,"Win rate"),0)</f>
        <v/>
      </c>
      <c r="S34" s="12">
        <f>IF(ISNUMBER(M34),SUMIFS(Setup!$D$16:$D$33,Setup!$A$16:$A$33,$B34,Setup!$B$16:$B$33,"Forecast accuracy"),0)</f>
        <v/>
      </c>
      <c r="T34" s="12">
        <f>IF(ISNUMBER(N34),SUMIFS(Setup!$D$16:$D$33,Setup!$A$16:$A$33,$B34,Setup!$B$16:$B$33,"Stale pipeline"),0)</f>
        <v/>
      </c>
      <c r="U34" s="16">
        <f>IF(ISNUMBER(I34),O34*I34,0)</f>
        <v/>
      </c>
      <c r="V34" s="16">
        <f>IF(ISNUMBER(J34),P34*J34,0)</f>
        <v/>
      </c>
      <c r="W34" s="16">
        <f>IF(ISNUMBER(K34),Q34*K34,0)</f>
        <v/>
      </c>
      <c r="X34" s="16">
        <f>IF(ISNUMBER(L34),R34*L34,0)</f>
        <v/>
      </c>
      <c r="Y34" s="16">
        <f>IF(ISNUMBER(M34),S34*M34,0)</f>
        <v/>
      </c>
      <c r="Z34" s="16">
        <f>IF(ISNUMBER(N34),T34*N34,0)</f>
        <v/>
      </c>
      <c r="AA34" s="12">
        <f>SUM(O34:T34)</f>
        <v/>
      </c>
      <c r="AB34" s="16">
        <f>IF(OR(A34="",AA34&lt;=0),"",SUM(U34:Z34)/AA34)</f>
        <v/>
      </c>
      <c r="AC34" s="16">
        <f>IF(AND(ISNUMBER(I34),$AA34&gt;0),O34*MAX(0,100-I34)/$AA34,0)</f>
        <v/>
      </c>
      <c r="AD34" s="16">
        <f>IF(AND(ISNUMBER(J34),$AA34&gt;0),P34*MAX(0,100-J34)/$AA34,0)</f>
        <v/>
      </c>
      <c r="AE34" s="16">
        <f>IF(AND(ISNUMBER(K34),$AA34&gt;0),Q34*MAX(0,100-K34)/$AA34,0)</f>
        <v/>
      </c>
      <c r="AF34" s="16">
        <f>IF(AND(ISNUMBER(L34),$AA34&gt;0),R34*MAX(0,100-L34)/$AA34,0)</f>
        <v/>
      </c>
      <c r="AG34" s="16">
        <f>IF(AND(ISNUMBER(M34),$AA34&gt;0),S34*MAX(0,100-M34)/$AA34,0)</f>
        <v/>
      </c>
      <c r="AH34" s="16">
        <f>IF(AND(ISNUMBER(N34),$AA34&gt;0),T34*MAX(0,100-N34)/$AA34,0)</f>
        <v/>
      </c>
      <c r="AI34" s="13">
        <f>IF(AB34="","",IF(MAX(AC34:AH34)&lt;=0,"All at or above target",INDEX($AC$3:$AH$3,MATCH(MAX(AC34:AH34),AC34:AH34,0))))</f>
        <v/>
      </c>
      <c r="AJ34" s="13">
        <f>IF(AB34="","",IF(AB34&gt;=Setup!$B$10,Setup!$A$10,IF(AB34&gt;=Setup!$B$11,Setup!$A$11,IF(AB34&gt;=Setup!$B$12,Setup!$A$12,Setup!$A$13))))</f>
        <v/>
      </c>
      <c r="AK34" s="12">
        <f>IF(AB34="","",COUNTIF(AB$5:AB$34,"&gt;"&amp;AB34)+1)</f>
        <v/>
      </c>
      <c r="AL34" s="12">
        <f>IF(C34="","",COUNTIF(C$5:C$34,"&gt;"&amp;C34)+1)</f>
        <v/>
      </c>
      <c r="AM34" s="13">
        <f>IF(G34="","",IF(Actuals!B34&gt;Actuals!H34,"Under-called",IF(Actuals!B34&lt;Actuals!H34,"Over-called","Exact")))</f>
        <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O36"/>
  <sheetViews>
    <sheetView showGridLines="1"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6" customWidth="1" min="2" max="2"/>
    <col width="14" customWidth="1" min="3" max="3"/>
    <col width="8" customWidth="1" min="4" max="4"/>
    <col width="11" customWidth="1" min="5" max="5"/>
    <col width="13" customWidth="1" min="6" max="6"/>
    <col width="11" customWidth="1" min="7" max="7"/>
    <col width="9" customWidth="1" min="8" max="8"/>
    <col width="11" customWidth="1" min="9" max="9"/>
    <col width="9" customWidth="1" min="10" max="10"/>
    <col width="10" customWidth="1" min="11" max="11"/>
    <col width="11" customWidth="1" min="12" max="12"/>
    <col width="7" customWidth="1" min="13" max="13"/>
    <col width="11" customWidth="1" min="14" max="14"/>
    <col width="20" customWidth="1" min="15" max="15"/>
  </cols>
  <sheetData>
    <row r="1">
      <c r="A1" s="1" t="inlineStr">
        <is>
          <t>Scorecard</t>
        </is>
      </c>
    </row>
    <row r="2">
      <c r="A2" s="2" t="inlineStr">
        <is>
          <t>Weighted rep scorecard. Rates are against each rep's own quota and targets; scores are 0 at the floor and 100 at target.</t>
        </is>
      </c>
    </row>
    <row r="3">
      <c r="A3" s="17">
        <f>"Period: "&amp;IF(Setup!B4="","(set on Setup)",Setup!B4)</f>
        <v/>
      </c>
    </row>
    <row r="4" ht="32" customHeight="1">
      <c r="A4" s="9" t="inlineStr">
        <is>
          <t>Rep</t>
        </is>
      </c>
      <c r="B4" s="10" t="inlineStr">
        <is>
          <t>Team</t>
        </is>
      </c>
      <c r="C4" s="10" t="inlineStr">
        <is>
          <t>Profile</t>
        </is>
      </c>
      <c r="D4" s="10" t="inlineStr">
        <is>
          <t>Tenure (mo)</t>
        </is>
      </c>
      <c r="E4" s="10" t="inlineStr">
        <is>
          <t>Attainment</t>
        </is>
      </c>
      <c r="F4" s="10" t="inlineStr">
        <is>
          <t>Pipeline created vs target</t>
        </is>
      </c>
      <c r="G4" s="10" t="inlineStr">
        <is>
          <t>Stage conversion</t>
        </is>
      </c>
      <c r="H4" s="10" t="inlineStr">
        <is>
          <t>Win rate</t>
        </is>
      </c>
      <c r="I4" s="10" t="inlineStr">
        <is>
          <t>Forecast accuracy</t>
        </is>
      </c>
      <c r="J4" s="10" t="inlineStr">
        <is>
          <t>Stale share</t>
        </is>
      </c>
      <c r="K4" s="10" t="inlineStr">
        <is>
          <t>Weighted score</t>
        </is>
      </c>
      <c r="L4" s="10" t="inlineStr">
        <is>
          <t>Rating</t>
        </is>
      </c>
      <c r="M4" s="10" t="inlineStr">
        <is>
          <t>Rank</t>
        </is>
      </c>
      <c r="N4" s="10" t="inlineStr">
        <is>
          <t>Rank on attainment alone</t>
        </is>
      </c>
      <c r="O4" s="10" t="inlineStr">
        <is>
          <t>Coaching focus</t>
        </is>
      </c>
    </row>
    <row r="5">
      <c r="A5" s="13">
        <f>Calc!A5</f>
        <v/>
      </c>
      <c r="B5" s="13">
        <f>IF(A5="","",Reps!B5&amp;"")</f>
        <v/>
      </c>
      <c r="C5" s="13">
        <f>Calc!B5</f>
        <v/>
      </c>
      <c r="D5" s="12">
        <f>IF(A5="","",Reps!D5)</f>
        <v/>
      </c>
      <c r="E5" s="15">
        <f>Calc!C5</f>
        <v/>
      </c>
      <c r="F5" s="15">
        <f>Calc!D5</f>
        <v/>
      </c>
      <c r="G5" s="15">
        <f>Calc!E5</f>
        <v/>
      </c>
      <c r="H5" s="15">
        <f>Calc!F5</f>
        <v/>
      </c>
      <c r="I5" s="15">
        <f>Calc!G5</f>
        <v/>
      </c>
      <c r="J5" s="15">
        <f>Calc!H5</f>
        <v/>
      </c>
      <c r="K5" s="16">
        <f>Calc!AB5</f>
        <v/>
      </c>
      <c r="L5" s="13">
        <f>Calc!AJ5</f>
        <v/>
      </c>
      <c r="M5" s="12">
        <f>Calc!AK5</f>
        <v/>
      </c>
      <c r="N5" s="12">
        <f>Calc!AL5</f>
        <v/>
      </c>
      <c r="O5" s="13">
        <f>Calc!AI5</f>
        <v/>
      </c>
    </row>
    <row r="6">
      <c r="A6" s="13">
        <f>Calc!A6</f>
        <v/>
      </c>
      <c r="B6" s="13">
        <f>IF(A6="","",Reps!B6&amp;"")</f>
        <v/>
      </c>
      <c r="C6" s="13">
        <f>Calc!B6</f>
        <v/>
      </c>
      <c r="D6" s="12">
        <f>IF(A6="","",Reps!D6)</f>
        <v/>
      </c>
      <c r="E6" s="15">
        <f>Calc!C6</f>
        <v/>
      </c>
      <c r="F6" s="15">
        <f>Calc!D6</f>
        <v/>
      </c>
      <c r="G6" s="15">
        <f>Calc!E6</f>
        <v/>
      </c>
      <c r="H6" s="15">
        <f>Calc!F6</f>
        <v/>
      </c>
      <c r="I6" s="15">
        <f>Calc!G6</f>
        <v/>
      </c>
      <c r="J6" s="15">
        <f>Calc!H6</f>
        <v/>
      </c>
      <c r="K6" s="16">
        <f>Calc!AB6</f>
        <v/>
      </c>
      <c r="L6" s="13">
        <f>Calc!AJ6</f>
        <v/>
      </c>
      <c r="M6" s="12">
        <f>Calc!AK6</f>
        <v/>
      </c>
      <c r="N6" s="12">
        <f>Calc!AL6</f>
        <v/>
      </c>
      <c r="O6" s="13">
        <f>Calc!AI6</f>
        <v/>
      </c>
    </row>
    <row r="7">
      <c r="A7" s="13">
        <f>Calc!A7</f>
        <v/>
      </c>
      <c r="B7" s="13">
        <f>IF(A7="","",Reps!B7&amp;"")</f>
        <v/>
      </c>
      <c r="C7" s="13">
        <f>Calc!B7</f>
        <v/>
      </c>
      <c r="D7" s="12">
        <f>IF(A7="","",Reps!D7)</f>
        <v/>
      </c>
      <c r="E7" s="15">
        <f>Calc!C7</f>
        <v/>
      </c>
      <c r="F7" s="15">
        <f>Calc!D7</f>
        <v/>
      </c>
      <c r="G7" s="15">
        <f>Calc!E7</f>
        <v/>
      </c>
      <c r="H7" s="15">
        <f>Calc!F7</f>
        <v/>
      </c>
      <c r="I7" s="15">
        <f>Calc!G7</f>
        <v/>
      </c>
      <c r="J7" s="15">
        <f>Calc!H7</f>
        <v/>
      </c>
      <c r="K7" s="16">
        <f>Calc!AB7</f>
        <v/>
      </c>
      <c r="L7" s="13">
        <f>Calc!AJ7</f>
        <v/>
      </c>
      <c r="M7" s="12">
        <f>Calc!AK7</f>
        <v/>
      </c>
      <c r="N7" s="12">
        <f>Calc!AL7</f>
        <v/>
      </c>
      <c r="O7" s="13">
        <f>Calc!AI7</f>
        <v/>
      </c>
    </row>
    <row r="8">
      <c r="A8" s="13">
        <f>Calc!A8</f>
        <v/>
      </c>
      <c r="B8" s="13">
        <f>IF(A8="","",Reps!B8&amp;"")</f>
        <v/>
      </c>
      <c r="C8" s="13">
        <f>Calc!B8</f>
        <v/>
      </c>
      <c r="D8" s="12">
        <f>IF(A8="","",Reps!D8)</f>
        <v/>
      </c>
      <c r="E8" s="15">
        <f>Calc!C8</f>
        <v/>
      </c>
      <c r="F8" s="15">
        <f>Calc!D8</f>
        <v/>
      </c>
      <c r="G8" s="15">
        <f>Calc!E8</f>
        <v/>
      </c>
      <c r="H8" s="15">
        <f>Calc!F8</f>
        <v/>
      </c>
      <c r="I8" s="15">
        <f>Calc!G8</f>
        <v/>
      </c>
      <c r="J8" s="15">
        <f>Calc!H8</f>
        <v/>
      </c>
      <c r="K8" s="16">
        <f>Calc!AB8</f>
        <v/>
      </c>
      <c r="L8" s="13">
        <f>Calc!AJ8</f>
        <v/>
      </c>
      <c r="M8" s="12">
        <f>Calc!AK8</f>
        <v/>
      </c>
      <c r="N8" s="12">
        <f>Calc!AL8</f>
        <v/>
      </c>
      <c r="O8" s="13">
        <f>Calc!AI8</f>
        <v/>
      </c>
    </row>
    <row r="9">
      <c r="A9" s="13">
        <f>Calc!A9</f>
        <v/>
      </c>
      <c r="B9" s="13">
        <f>IF(A9="","",Reps!B9&amp;"")</f>
        <v/>
      </c>
      <c r="C9" s="13">
        <f>Calc!B9</f>
        <v/>
      </c>
      <c r="D9" s="12">
        <f>IF(A9="","",Reps!D9)</f>
        <v/>
      </c>
      <c r="E9" s="15">
        <f>Calc!C9</f>
        <v/>
      </c>
      <c r="F9" s="15">
        <f>Calc!D9</f>
        <v/>
      </c>
      <c r="G9" s="15">
        <f>Calc!E9</f>
        <v/>
      </c>
      <c r="H9" s="15">
        <f>Calc!F9</f>
        <v/>
      </c>
      <c r="I9" s="15">
        <f>Calc!G9</f>
        <v/>
      </c>
      <c r="J9" s="15">
        <f>Calc!H9</f>
        <v/>
      </c>
      <c r="K9" s="16">
        <f>Calc!AB9</f>
        <v/>
      </c>
      <c r="L9" s="13">
        <f>Calc!AJ9</f>
        <v/>
      </c>
      <c r="M9" s="12">
        <f>Calc!AK9</f>
        <v/>
      </c>
      <c r="N9" s="12">
        <f>Calc!AL9</f>
        <v/>
      </c>
      <c r="O9" s="13">
        <f>Calc!AI9</f>
        <v/>
      </c>
    </row>
    <row r="10">
      <c r="A10" s="13">
        <f>Calc!A10</f>
        <v/>
      </c>
      <c r="B10" s="13">
        <f>IF(A10="","",Reps!B10&amp;"")</f>
        <v/>
      </c>
      <c r="C10" s="13">
        <f>Calc!B10</f>
        <v/>
      </c>
      <c r="D10" s="12">
        <f>IF(A10="","",Reps!D10)</f>
        <v/>
      </c>
      <c r="E10" s="15">
        <f>Calc!C10</f>
        <v/>
      </c>
      <c r="F10" s="15">
        <f>Calc!D10</f>
        <v/>
      </c>
      <c r="G10" s="15">
        <f>Calc!E10</f>
        <v/>
      </c>
      <c r="H10" s="15">
        <f>Calc!F10</f>
        <v/>
      </c>
      <c r="I10" s="15">
        <f>Calc!G10</f>
        <v/>
      </c>
      <c r="J10" s="15">
        <f>Calc!H10</f>
        <v/>
      </c>
      <c r="K10" s="16">
        <f>Calc!AB10</f>
        <v/>
      </c>
      <c r="L10" s="13">
        <f>Calc!AJ10</f>
        <v/>
      </c>
      <c r="M10" s="12">
        <f>Calc!AK10</f>
        <v/>
      </c>
      <c r="N10" s="12">
        <f>Calc!AL10</f>
        <v/>
      </c>
      <c r="O10" s="13">
        <f>Calc!AI10</f>
        <v/>
      </c>
    </row>
    <row r="11">
      <c r="A11" s="13">
        <f>Calc!A11</f>
        <v/>
      </c>
      <c r="B11" s="13">
        <f>IF(A11="","",Reps!B11&amp;"")</f>
        <v/>
      </c>
      <c r="C11" s="13">
        <f>Calc!B11</f>
        <v/>
      </c>
      <c r="D11" s="12">
        <f>IF(A11="","",Reps!D11)</f>
        <v/>
      </c>
      <c r="E11" s="15">
        <f>Calc!C11</f>
        <v/>
      </c>
      <c r="F11" s="15">
        <f>Calc!D11</f>
        <v/>
      </c>
      <c r="G11" s="15">
        <f>Calc!E11</f>
        <v/>
      </c>
      <c r="H11" s="15">
        <f>Calc!F11</f>
        <v/>
      </c>
      <c r="I11" s="15">
        <f>Calc!G11</f>
        <v/>
      </c>
      <c r="J11" s="15">
        <f>Calc!H11</f>
        <v/>
      </c>
      <c r="K11" s="16">
        <f>Calc!AB11</f>
        <v/>
      </c>
      <c r="L11" s="13">
        <f>Calc!AJ11</f>
        <v/>
      </c>
      <c r="M11" s="12">
        <f>Calc!AK11</f>
        <v/>
      </c>
      <c r="N11" s="12">
        <f>Calc!AL11</f>
        <v/>
      </c>
      <c r="O11" s="13">
        <f>Calc!AI11</f>
        <v/>
      </c>
    </row>
    <row r="12">
      <c r="A12" s="13">
        <f>Calc!A12</f>
        <v/>
      </c>
      <c r="B12" s="13">
        <f>IF(A12="","",Reps!B12&amp;"")</f>
        <v/>
      </c>
      <c r="C12" s="13">
        <f>Calc!B12</f>
        <v/>
      </c>
      <c r="D12" s="12">
        <f>IF(A12="","",Reps!D12)</f>
        <v/>
      </c>
      <c r="E12" s="15">
        <f>Calc!C12</f>
        <v/>
      </c>
      <c r="F12" s="15">
        <f>Calc!D12</f>
        <v/>
      </c>
      <c r="G12" s="15">
        <f>Calc!E12</f>
        <v/>
      </c>
      <c r="H12" s="15">
        <f>Calc!F12</f>
        <v/>
      </c>
      <c r="I12" s="15">
        <f>Calc!G12</f>
        <v/>
      </c>
      <c r="J12" s="15">
        <f>Calc!H12</f>
        <v/>
      </c>
      <c r="K12" s="16">
        <f>Calc!AB12</f>
        <v/>
      </c>
      <c r="L12" s="13">
        <f>Calc!AJ12</f>
        <v/>
      </c>
      <c r="M12" s="12">
        <f>Calc!AK12</f>
        <v/>
      </c>
      <c r="N12" s="12">
        <f>Calc!AL12</f>
        <v/>
      </c>
      <c r="O12" s="13">
        <f>Calc!AI12</f>
        <v/>
      </c>
    </row>
    <row r="13">
      <c r="A13" s="13">
        <f>Calc!A13</f>
        <v/>
      </c>
      <c r="B13" s="13">
        <f>IF(A13="","",Reps!B13&amp;"")</f>
        <v/>
      </c>
      <c r="C13" s="13">
        <f>Calc!B13</f>
        <v/>
      </c>
      <c r="D13" s="12">
        <f>IF(A13="","",Reps!D13)</f>
        <v/>
      </c>
      <c r="E13" s="15">
        <f>Calc!C13</f>
        <v/>
      </c>
      <c r="F13" s="15">
        <f>Calc!D13</f>
        <v/>
      </c>
      <c r="G13" s="15">
        <f>Calc!E13</f>
        <v/>
      </c>
      <c r="H13" s="15">
        <f>Calc!F13</f>
        <v/>
      </c>
      <c r="I13" s="15">
        <f>Calc!G13</f>
        <v/>
      </c>
      <c r="J13" s="15">
        <f>Calc!H13</f>
        <v/>
      </c>
      <c r="K13" s="16">
        <f>Calc!AB13</f>
        <v/>
      </c>
      <c r="L13" s="13">
        <f>Calc!AJ13</f>
        <v/>
      </c>
      <c r="M13" s="12">
        <f>Calc!AK13</f>
        <v/>
      </c>
      <c r="N13" s="12">
        <f>Calc!AL13</f>
        <v/>
      </c>
      <c r="O13" s="13">
        <f>Calc!AI13</f>
        <v/>
      </c>
    </row>
    <row r="14">
      <c r="A14" s="13">
        <f>Calc!A14</f>
        <v/>
      </c>
      <c r="B14" s="13">
        <f>IF(A14="","",Reps!B14&amp;"")</f>
        <v/>
      </c>
      <c r="C14" s="13">
        <f>Calc!B14</f>
        <v/>
      </c>
      <c r="D14" s="12">
        <f>IF(A14="","",Reps!D14)</f>
        <v/>
      </c>
      <c r="E14" s="15">
        <f>Calc!C14</f>
        <v/>
      </c>
      <c r="F14" s="15">
        <f>Calc!D14</f>
        <v/>
      </c>
      <c r="G14" s="15">
        <f>Calc!E14</f>
        <v/>
      </c>
      <c r="H14" s="15">
        <f>Calc!F14</f>
        <v/>
      </c>
      <c r="I14" s="15">
        <f>Calc!G14</f>
        <v/>
      </c>
      <c r="J14" s="15">
        <f>Calc!H14</f>
        <v/>
      </c>
      <c r="K14" s="16">
        <f>Calc!AB14</f>
        <v/>
      </c>
      <c r="L14" s="13">
        <f>Calc!AJ14</f>
        <v/>
      </c>
      <c r="M14" s="12">
        <f>Calc!AK14</f>
        <v/>
      </c>
      <c r="N14" s="12">
        <f>Calc!AL14</f>
        <v/>
      </c>
      <c r="O14" s="13">
        <f>Calc!AI14</f>
        <v/>
      </c>
    </row>
    <row r="15">
      <c r="A15" s="13">
        <f>Calc!A15</f>
        <v/>
      </c>
      <c r="B15" s="13">
        <f>IF(A15="","",Reps!B15&amp;"")</f>
        <v/>
      </c>
      <c r="C15" s="13">
        <f>Calc!B15</f>
        <v/>
      </c>
      <c r="D15" s="12">
        <f>IF(A15="","",Reps!D15)</f>
        <v/>
      </c>
      <c r="E15" s="15">
        <f>Calc!C15</f>
        <v/>
      </c>
      <c r="F15" s="15">
        <f>Calc!D15</f>
        <v/>
      </c>
      <c r="G15" s="15">
        <f>Calc!E15</f>
        <v/>
      </c>
      <c r="H15" s="15">
        <f>Calc!F15</f>
        <v/>
      </c>
      <c r="I15" s="15">
        <f>Calc!G15</f>
        <v/>
      </c>
      <c r="J15" s="15">
        <f>Calc!H15</f>
        <v/>
      </c>
      <c r="K15" s="16">
        <f>Calc!AB15</f>
        <v/>
      </c>
      <c r="L15" s="13">
        <f>Calc!AJ15</f>
        <v/>
      </c>
      <c r="M15" s="12">
        <f>Calc!AK15</f>
        <v/>
      </c>
      <c r="N15" s="12">
        <f>Calc!AL15</f>
        <v/>
      </c>
      <c r="O15" s="13">
        <f>Calc!AI15</f>
        <v/>
      </c>
    </row>
    <row r="16">
      <c r="A16" s="13">
        <f>Calc!A16</f>
        <v/>
      </c>
      <c r="B16" s="13">
        <f>IF(A16="","",Reps!B16&amp;"")</f>
        <v/>
      </c>
      <c r="C16" s="13">
        <f>Calc!B16</f>
        <v/>
      </c>
      <c r="D16" s="12">
        <f>IF(A16="","",Reps!D16)</f>
        <v/>
      </c>
      <c r="E16" s="15">
        <f>Calc!C16</f>
        <v/>
      </c>
      <c r="F16" s="15">
        <f>Calc!D16</f>
        <v/>
      </c>
      <c r="G16" s="15">
        <f>Calc!E16</f>
        <v/>
      </c>
      <c r="H16" s="15">
        <f>Calc!F16</f>
        <v/>
      </c>
      <c r="I16" s="15">
        <f>Calc!G16</f>
        <v/>
      </c>
      <c r="J16" s="15">
        <f>Calc!H16</f>
        <v/>
      </c>
      <c r="K16" s="16">
        <f>Calc!AB16</f>
        <v/>
      </c>
      <c r="L16" s="13">
        <f>Calc!AJ16</f>
        <v/>
      </c>
      <c r="M16" s="12">
        <f>Calc!AK16</f>
        <v/>
      </c>
      <c r="N16" s="12">
        <f>Calc!AL16</f>
        <v/>
      </c>
      <c r="O16" s="13">
        <f>Calc!AI16</f>
        <v/>
      </c>
    </row>
    <row r="17">
      <c r="A17" s="13">
        <f>Calc!A17</f>
        <v/>
      </c>
      <c r="B17" s="13">
        <f>IF(A17="","",Reps!B17&amp;"")</f>
        <v/>
      </c>
      <c r="C17" s="13">
        <f>Calc!B17</f>
        <v/>
      </c>
      <c r="D17" s="12">
        <f>IF(A17="","",Reps!D17)</f>
        <v/>
      </c>
      <c r="E17" s="15">
        <f>Calc!C17</f>
        <v/>
      </c>
      <c r="F17" s="15">
        <f>Calc!D17</f>
        <v/>
      </c>
      <c r="G17" s="15">
        <f>Calc!E17</f>
        <v/>
      </c>
      <c r="H17" s="15">
        <f>Calc!F17</f>
        <v/>
      </c>
      <c r="I17" s="15">
        <f>Calc!G17</f>
        <v/>
      </c>
      <c r="J17" s="15">
        <f>Calc!H17</f>
        <v/>
      </c>
      <c r="K17" s="16">
        <f>Calc!AB17</f>
        <v/>
      </c>
      <c r="L17" s="13">
        <f>Calc!AJ17</f>
        <v/>
      </c>
      <c r="M17" s="12">
        <f>Calc!AK17</f>
        <v/>
      </c>
      <c r="N17" s="12">
        <f>Calc!AL17</f>
        <v/>
      </c>
      <c r="O17" s="13">
        <f>Calc!AI17</f>
        <v/>
      </c>
    </row>
    <row r="18">
      <c r="A18" s="13">
        <f>Calc!A18</f>
        <v/>
      </c>
      <c r="B18" s="13">
        <f>IF(A18="","",Reps!B18&amp;"")</f>
        <v/>
      </c>
      <c r="C18" s="13">
        <f>Calc!B18</f>
        <v/>
      </c>
      <c r="D18" s="12">
        <f>IF(A18="","",Reps!D18)</f>
        <v/>
      </c>
      <c r="E18" s="15">
        <f>Calc!C18</f>
        <v/>
      </c>
      <c r="F18" s="15">
        <f>Calc!D18</f>
        <v/>
      </c>
      <c r="G18" s="15">
        <f>Calc!E18</f>
        <v/>
      </c>
      <c r="H18" s="15">
        <f>Calc!F18</f>
        <v/>
      </c>
      <c r="I18" s="15">
        <f>Calc!G18</f>
        <v/>
      </c>
      <c r="J18" s="15">
        <f>Calc!H18</f>
        <v/>
      </c>
      <c r="K18" s="16">
        <f>Calc!AB18</f>
        <v/>
      </c>
      <c r="L18" s="13">
        <f>Calc!AJ18</f>
        <v/>
      </c>
      <c r="M18" s="12">
        <f>Calc!AK18</f>
        <v/>
      </c>
      <c r="N18" s="12">
        <f>Calc!AL18</f>
        <v/>
      </c>
      <c r="O18" s="13">
        <f>Calc!AI18</f>
        <v/>
      </c>
    </row>
    <row r="19">
      <c r="A19" s="13">
        <f>Calc!A19</f>
        <v/>
      </c>
      <c r="B19" s="13">
        <f>IF(A19="","",Reps!B19&amp;"")</f>
        <v/>
      </c>
      <c r="C19" s="13">
        <f>Calc!B19</f>
        <v/>
      </c>
      <c r="D19" s="12">
        <f>IF(A19="","",Reps!D19)</f>
        <v/>
      </c>
      <c r="E19" s="15">
        <f>Calc!C19</f>
        <v/>
      </c>
      <c r="F19" s="15">
        <f>Calc!D19</f>
        <v/>
      </c>
      <c r="G19" s="15">
        <f>Calc!E19</f>
        <v/>
      </c>
      <c r="H19" s="15">
        <f>Calc!F19</f>
        <v/>
      </c>
      <c r="I19" s="15">
        <f>Calc!G19</f>
        <v/>
      </c>
      <c r="J19" s="15">
        <f>Calc!H19</f>
        <v/>
      </c>
      <c r="K19" s="16">
        <f>Calc!AB19</f>
        <v/>
      </c>
      <c r="L19" s="13">
        <f>Calc!AJ19</f>
        <v/>
      </c>
      <c r="M19" s="12">
        <f>Calc!AK19</f>
        <v/>
      </c>
      <c r="N19" s="12">
        <f>Calc!AL19</f>
        <v/>
      </c>
      <c r="O19" s="13">
        <f>Calc!AI19</f>
        <v/>
      </c>
    </row>
    <row r="20">
      <c r="A20" s="13">
        <f>Calc!A20</f>
        <v/>
      </c>
      <c r="B20" s="13">
        <f>IF(A20="","",Reps!B20&amp;"")</f>
        <v/>
      </c>
      <c r="C20" s="13">
        <f>Calc!B20</f>
        <v/>
      </c>
      <c r="D20" s="12">
        <f>IF(A20="","",Reps!D20)</f>
        <v/>
      </c>
      <c r="E20" s="15">
        <f>Calc!C20</f>
        <v/>
      </c>
      <c r="F20" s="15">
        <f>Calc!D20</f>
        <v/>
      </c>
      <c r="G20" s="15">
        <f>Calc!E20</f>
        <v/>
      </c>
      <c r="H20" s="15">
        <f>Calc!F20</f>
        <v/>
      </c>
      <c r="I20" s="15">
        <f>Calc!G20</f>
        <v/>
      </c>
      <c r="J20" s="15">
        <f>Calc!H20</f>
        <v/>
      </c>
      <c r="K20" s="16">
        <f>Calc!AB20</f>
        <v/>
      </c>
      <c r="L20" s="13">
        <f>Calc!AJ20</f>
        <v/>
      </c>
      <c r="M20" s="12">
        <f>Calc!AK20</f>
        <v/>
      </c>
      <c r="N20" s="12">
        <f>Calc!AL20</f>
        <v/>
      </c>
      <c r="O20" s="13">
        <f>Calc!AI20</f>
        <v/>
      </c>
    </row>
    <row r="21">
      <c r="A21" s="13">
        <f>Calc!A21</f>
        <v/>
      </c>
      <c r="B21" s="13">
        <f>IF(A21="","",Reps!B21&amp;"")</f>
        <v/>
      </c>
      <c r="C21" s="13">
        <f>Calc!B21</f>
        <v/>
      </c>
      <c r="D21" s="12">
        <f>IF(A21="","",Reps!D21)</f>
        <v/>
      </c>
      <c r="E21" s="15">
        <f>Calc!C21</f>
        <v/>
      </c>
      <c r="F21" s="15">
        <f>Calc!D21</f>
        <v/>
      </c>
      <c r="G21" s="15">
        <f>Calc!E21</f>
        <v/>
      </c>
      <c r="H21" s="15">
        <f>Calc!F21</f>
        <v/>
      </c>
      <c r="I21" s="15">
        <f>Calc!G21</f>
        <v/>
      </c>
      <c r="J21" s="15">
        <f>Calc!H21</f>
        <v/>
      </c>
      <c r="K21" s="16">
        <f>Calc!AB21</f>
        <v/>
      </c>
      <c r="L21" s="13">
        <f>Calc!AJ21</f>
        <v/>
      </c>
      <c r="M21" s="12">
        <f>Calc!AK21</f>
        <v/>
      </c>
      <c r="N21" s="12">
        <f>Calc!AL21</f>
        <v/>
      </c>
      <c r="O21" s="13">
        <f>Calc!AI21</f>
        <v/>
      </c>
    </row>
    <row r="22">
      <c r="A22" s="13">
        <f>Calc!A22</f>
        <v/>
      </c>
      <c r="B22" s="13">
        <f>IF(A22="","",Reps!B22&amp;"")</f>
        <v/>
      </c>
      <c r="C22" s="13">
        <f>Calc!B22</f>
        <v/>
      </c>
      <c r="D22" s="12">
        <f>IF(A22="","",Reps!D22)</f>
        <v/>
      </c>
      <c r="E22" s="15">
        <f>Calc!C22</f>
        <v/>
      </c>
      <c r="F22" s="15">
        <f>Calc!D22</f>
        <v/>
      </c>
      <c r="G22" s="15">
        <f>Calc!E22</f>
        <v/>
      </c>
      <c r="H22" s="15">
        <f>Calc!F22</f>
        <v/>
      </c>
      <c r="I22" s="15">
        <f>Calc!G22</f>
        <v/>
      </c>
      <c r="J22" s="15">
        <f>Calc!H22</f>
        <v/>
      </c>
      <c r="K22" s="16">
        <f>Calc!AB22</f>
        <v/>
      </c>
      <c r="L22" s="13">
        <f>Calc!AJ22</f>
        <v/>
      </c>
      <c r="M22" s="12">
        <f>Calc!AK22</f>
        <v/>
      </c>
      <c r="N22" s="12">
        <f>Calc!AL22</f>
        <v/>
      </c>
      <c r="O22" s="13">
        <f>Calc!AI22</f>
        <v/>
      </c>
    </row>
    <row r="23">
      <c r="A23" s="13">
        <f>Calc!A23</f>
        <v/>
      </c>
      <c r="B23" s="13">
        <f>IF(A23="","",Reps!B23&amp;"")</f>
        <v/>
      </c>
      <c r="C23" s="13">
        <f>Calc!B23</f>
        <v/>
      </c>
      <c r="D23" s="12">
        <f>IF(A23="","",Reps!D23)</f>
        <v/>
      </c>
      <c r="E23" s="15">
        <f>Calc!C23</f>
        <v/>
      </c>
      <c r="F23" s="15">
        <f>Calc!D23</f>
        <v/>
      </c>
      <c r="G23" s="15">
        <f>Calc!E23</f>
        <v/>
      </c>
      <c r="H23" s="15">
        <f>Calc!F23</f>
        <v/>
      </c>
      <c r="I23" s="15">
        <f>Calc!G23</f>
        <v/>
      </c>
      <c r="J23" s="15">
        <f>Calc!H23</f>
        <v/>
      </c>
      <c r="K23" s="16">
        <f>Calc!AB23</f>
        <v/>
      </c>
      <c r="L23" s="13">
        <f>Calc!AJ23</f>
        <v/>
      </c>
      <c r="M23" s="12">
        <f>Calc!AK23</f>
        <v/>
      </c>
      <c r="N23" s="12">
        <f>Calc!AL23</f>
        <v/>
      </c>
      <c r="O23" s="13">
        <f>Calc!AI23</f>
        <v/>
      </c>
    </row>
    <row r="24">
      <c r="A24" s="13">
        <f>Calc!A24</f>
        <v/>
      </c>
      <c r="B24" s="13">
        <f>IF(A24="","",Reps!B24&amp;"")</f>
        <v/>
      </c>
      <c r="C24" s="13">
        <f>Calc!B24</f>
        <v/>
      </c>
      <c r="D24" s="12">
        <f>IF(A24="","",Reps!D24)</f>
        <v/>
      </c>
      <c r="E24" s="15">
        <f>Calc!C24</f>
        <v/>
      </c>
      <c r="F24" s="15">
        <f>Calc!D24</f>
        <v/>
      </c>
      <c r="G24" s="15">
        <f>Calc!E24</f>
        <v/>
      </c>
      <c r="H24" s="15">
        <f>Calc!F24</f>
        <v/>
      </c>
      <c r="I24" s="15">
        <f>Calc!G24</f>
        <v/>
      </c>
      <c r="J24" s="15">
        <f>Calc!H24</f>
        <v/>
      </c>
      <c r="K24" s="16">
        <f>Calc!AB24</f>
        <v/>
      </c>
      <c r="L24" s="13">
        <f>Calc!AJ24</f>
        <v/>
      </c>
      <c r="M24" s="12">
        <f>Calc!AK24</f>
        <v/>
      </c>
      <c r="N24" s="12">
        <f>Calc!AL24</f>
        <v/>
      </c>
      <c r="O24" s="13">
        <f>Calc!AI24</f>
        <v/>
      </c>
    </row>
    <row r="25">
      <c r="A25" s="13">
        <f>Calc!A25</f>
        <v/>
      </c>
      <c r="B25" s="13">
        <f>IF(A25="","",Reps!B25&amp;"")</f>
        <v/>
      </c>
      <c r="C25" s="13">
        <f>Calc!B25</f>
        <v/>
      </c>
      <c r="D25" s="12">
        <f>IF(A25="","",Reps!D25)</f>
        <v/>
      </c>
      <c r="E25" s="15">
        <f>Calc!C25</f>
        <v/>
      </c>
      <c r="F25" s="15">
        <f>Calc!D25</f>
        <v/>
      </c>
      <c r="G25" s="15">
        <f>Calc!E25</f>
        <v/>
      </c>
      <c r="H25" s="15">
        <f>Calc!F25</f>
        <v/>
      </c>
      <c r="I25" s="15">
        <f>Calc!G25</f>
        <v/>
      </c>
      <c r="J25" s="15">
        <f>Calc!H25</f>
        <v/>
      </c>
      <c r="K25" s="16">
        <f>Calc!AB25</f>
        <v/>
      </c>
      <c r="L25" s="13">
        <f>Calc!AJ25</f>
        <v/>
      </c>
      <c r="M25" s="12">
        <f>Calc!AK25</f>
        <v/>
      </c>
      <c r="N25" s="12">
        <f>Calc!AL25</f>
        <v/>
      </c>
      <c r="O25" s="13">
        <f>Calc!AI25</f>
        <v/>
      </c>
    </row>
    <row r="26">
      <c r="A26" s="13">
        <f>Calc!A26</f>
        <v/>
      </c>
      <c r="B26" s="13">
        <f>IF(A26="","",Reps!B26&amp;"")</f>
        <v/>
      </c>
      <c r="C26" s="13">
        <f>Calc!B26</f>
        <v/>
      </c>
      <c r="D26" s="12">
        <f>IF(A26="","",Reps!D26)</f>
        <v/>
      </c>
      <c r="E26" s="15">
        <f>Calc!C26</f>
        <v/>
      </c>
      <c r="F26" s="15">
        <f>Calc!D26</f>
        <v/>
      </c>
      <c r="G26" s="15">
        <f>Calc!E26</f>
        <v/>
      </c>
      <c r="H26" s="15">
        <f>Calc!F26</f>
        <v/>
      </c>
      <c r="I26" s="15">
        <f>Calc!G26</f>
        <v/>
      </c>
      <c r="J26" s="15">
        <f>Calc!H26</f>
        <v/>
      </c>
      <c r="K26" s="16">
        <f>Calc!AB26</f>
        <v/>
      </c>
      <c r="L26" s="13">
        <f>Calc!AJ26</f>
        <v/>
      </c>
      <c r="M26" s="12">
        <f>Calc!AK26</f>
        <v/>
      </c>
      <c r="N26" s="12">
        <f>Calc!AL26</f>
        <v/>
      </c>
      <c r="O26" s="13">
        <f>Calc!AI26</f>
        <v/>
      </c>
    </row>
    <row r="27">
      <c r="A27" s="13">
        <f>Calc!A27</f>
        <v/>
      </c>
      <c r="B27" s="13">
        <f>IF(A27="","",Reps!B27&amp;"")</f>
        <v/>
      </c>
      <c r="C27" s="13">
        <f>Calc!B27</f>
        <v/>
      </c>
      <c r="D27" s="12">
        <f>IF(A27="","",Reps!D27)</f>
        <v/>
      </c>
      <c r="E27" s="15">
        <f>Calc!C27</f>
        <v/>
      </c>
      <c r="F27" s="15">
        <f>Calc!D27</f>
        <v/>
      </c>
      <c r="G27" s="15">
        <f>Calc!E27</f>
        <v/>
      </c>
      <c r="H27" s="15">
        <f>Calc!F27</f>
        <v/>
      </c>
      <c r="I27" s="15">
        <f>Calc!G27</f>
        <v/>
      </c>
      <c r="J27" s="15">
        <f>Calc!H27</f>
        <v/>
      </c>
      <c r="K27" s="16">
        <f>Calc!AB27</f>
        <v/>
      </c>
      <c r="L27" s="13">
        <f>Calc!AJ27</f>
        <v/>
      </c>
      <c r="M27" s="12">
        <f>Calc!AK27</f>
        <v/>
      </c>
      <c r="N27" s="12">
        <f>Calc!AL27</f>
        <v/>
      </c>
      <c r="O27" s="13">
        <f>Calc!AI27</f>
        <v/>
      </c>
    </row>
    <row r="28">
      <c r="A28" s="13">
        <f>Calc!A28</f>
        <v/>
      </c>
      <c r="B28" s="13">
        <f>IF(A28="","",Reps!B28&amp;"")</f>
        <v/>
      </c>
      <c r="C28" s="13">
        <f>Calc!B28</f>
        <v/>
      </c>
      <c r="D28" s="12">
        <f>IF(A28="","",Reps!D28)</f>
        <v/>
      </c>
      <c r="E28" s="15">
        <f>Calc!C28</f>
        <v/>
      </c>
      <c r="F28" s="15">
        <f>Calc!D28</f>
        <v/>
      </c>
      <c r="G28" s="15">
        <f>Calc!E28</f>
        <v/>
      </c>
      <c r="H28" s="15">
        <f>Calc!F28</f>
        <v/>
      </c>
      <c r="I28" s="15">
        <f>Calc!G28</f>
        <v/>
      </c>
      <c r="J28" s="15">
        <f>Calc!H28</f>
        <v/>
      </c>
      <c r="K28" s="16">
        <f>Calc!AB28</f>
        <v/>
      </c>
      <c r="L28" s="13">
        <f>Calc!AJ28</f>
        <v/>
      </c>
      <c r="M28" s="12">
        <f>Calc!AK28</f>
        <v/>
      </c>
      <c r="N28" s="12">
        <f>Calc!AL28</f>
        <v/>
      </c>
      <c r="O28" s="13">
        <f>Calc!AI28</f>
        <v/>
      </c>
    </row>
    <row r="29">
      <c r="A29" s="13">
        <f>Calc!A29</f>
        <v/>
      </c>
      <c r="B29" s="13">
        <f>IF(A29="","",Reps!B29&amp;"")</f>
        <v/>
      </c>
      <c r="C29" s="13">
        <f>Calc!B29</f>
        <v/>
      </c>
      <c r="D29" s="12">
        <f>IF(A29="","",Reps!D29)</f>
        <v/>
      </c>
      <c r="E29" s="15">
        <f>Calc!C29</f>
        <v/>
      </c>
      <c r="F29" s="15">
        <f>Calc!D29</f>
        <v/>
      </c>
      <c r="G29" s="15">
        <f>Calc!E29</f>
        <v/>
      </c>
      <c r="H29" s="15">
        <f>Calc!F29</f>
        <v/>
      </c>
      <c r="I29" s="15">
        <f>Calc!G29</f>
        <v/>
      </c>
      <c r="J29" s="15">
        <f>Calc!H29</f>
        <v/>
      </c>
      <c r="K29" s="16">
        <f>Calc!AB29</f>
        <v/>
      </c>
      <c r="L29" s="13">
        <f>Calc!AJ29</f>
        <v/>
      </c>
      <c r="M29" s="12">
        <f>Calc!AK29</f>
        <v/>
      </c>
      <c r="N29" s="12">
        <f>Calc!AL29</f>
        <v/>
      </c>
      <c r="O29" s="13">
        <f>Calc!AI29</f>
        <v/>
      </c>
    </row>
    <row r="30">
      <c r="A30" s="13">
        <f>Calc!A30</f>
        <v/>
      </c>
      <c r="B30" s="13">
        <f>IF(A30="","",Reps!B30&amp;"")</f>
        <v/>
      </c>
      <c r="C30" s="13">
        <f>Calc!B30</f>
        <v/>
      </c>
      <c r="D30" s="12">
        <f>IF(A30="","",Reps!D30)</f>
        <v/>
      </c>
      <c r="E30" s="15">
        <f>Calc!C30</f>
        <v/>
      </c>
      <c r="F30" s="15">
        <f>Calc!D30</f>
        <v/>
      </c>
      <c r="G30" s="15">
        <f>Calc!E30</f>
        <v/>
      </c>
      <c r="H30" s="15">
        <f>Calc!F30</f>
        <v/>
      </c>
      <c r="I30" s="15">
        <f>Calc!G30</f>
        <v/>
      </c>
      <c r="J30" s="15">
        <f>Calc!H30</f>
        <v/>
      </c>
      <c r="K30" s="16">
        <f>Calc!AB30</f>
        <v/>
      </c>
      <c r="L30" s="13">
        <f>Calc!AJ30</f>
        <v/>
      </c>
      <c r="M30" s="12">
        <f>Calc!AK30</f>
        <v/>
      </c>
      <c r="N30" s="12">
        <f>Calc!AL30</f>
        <v/>
      </c>
      <c r="O30" s="13">
        <f>Calc!AI30</f>
        <v/>
      </c>
    </row>
    <row r="31">
      <c r="A31" s="13">
        <f>Calc!A31</f>
        <v/>
      </c>
      <c r="B31" s="13">
        <f>IF(A31="","",Reps!B31&amp;"")</f>
        <v/>
      </c>
      <c r="C31" s="13">
        <f>Calc!B31</f>
        <v/>
      </c>
      <c r="D31" s="12">
        <f>IF(A31="","",Reps!D31)</f>
        <v/>
      </c>
      <c r="E31" s="15">
        <f>Calc!C31</f>
        <v/>
      </c>
      <c r="F31" s="15">
        <f>Calc!D31</f>
        <v/>
      </c>
      <c r="G31" s="15">
        <f>Calc!E31</f>
        <v/>
      </c>
      <c r="H31" s="15">
        <f>Calc!F31</f>
        <v/>
      </c>
      <c r="I31" s="15">
        <f>Calc!G31</f>
        <v/>
      </c>
      <c r="J31" s="15">
        <f>Calc!H31</f>
        <v/>
      </c>
      <c r="K31" s="16">
        <f>Calc!AB31</f>
        <v/>
      </c>
      <c r="L31" s="13">
        <f>Calc!AJ31</f>
        <v/>
      </c>
      <c r="M31" s="12">
        <f>Calc!AK31</f>
        <v/>
      </c>
      <c r="N31" s="12">
        <f>Calc!AL31</f>
        <v/>
      </c>
      <c r="O31" s="13">
        <f>Calc!AI31</f>
        <v/>
      </c>
    </row>
    <row r="32">
      <c r="A32" s="13">
        <f>Calc!A32</f>
        <v/>
      </c>
      <c r="B32" s="13">
        <f>IF(A32="","",Reps!B32&amp;"")</f>
        <v/>
      </c>
      <c r="C32" s="13">
        <f>Calc!B32</f>
        <v/>
      </c>
      <c r="D32" s="12">
        <f>IF(A32="","",Reps!D32)</f>
        <v/>
      </c>
      <c r="E32" s="15">
        <f>Calc!C32</f>
        <v/>
      </c>
      <c r="F32" s="15">
        <f>Calc!D32</f>
        <v/>
      </c>
      <c r="G32" s="15">
        <f>Calc!E32</f>
        <v/>
      </c>
      <c r="H32" s="15">
        <f>Calc!F32</f>
        <v/>
      </c>
      <c r="I32" s="15">
        <f>Calc!G32</f>
        <v/>
      </c>
      <c r="J32" s="15">
        <f>Calc!H32</f>
        <v/>
      </c>
      <c r="K32" s="16">
        <f>Calc!AB32</f>
        <v/>
      </c>
      <c r="L32" s="13">
        <f>Calc!AJ32</f>
        <v/>
      </c>
      <c r="M32" s="12">
        <f>Calc!AK32</f>
        <v/>
      </c>
      <c r="N32" s="12">
        <f>Calc!AL32</f>
        <v/>
      </c>
      <c r="O32" s="13">
        <f>Calc!AI32</f>
        <v/>
      </c>
    </row>
    <row r="33">
      <c r="A33" s="13">
        <f>Calc!A33</f>
        <v/>
      </c>
      <c r="B33" s="13">
        <f>IF(A33="","",Reps!B33&amp;"")</f>
        <v/>
      </c>
      <c r="C33" s="13">
        <f>Calc!B33</f>
        <v/>
      </c>
      <c r="D33" s="12">
        <f>IF(A33="","",Reps!D33)</f>
        <v/>
      </c>
      <c r="E33" s="15">
        <f>Calc!C33</f>
        <v/>
      </c>
      <c r="F33" s="15">
        <f>Calc!D33</f>
        <v/>
      </c>
      <c r="G33" s="15">
        <f>Calc!E33</f>
        <v/>
      </c>
      <c r="H33" s="15">
        <f>Calc!F33</f>
        <v/>
      </c>
      <c r="I33" s="15">
        <f>Calc!G33</f>
        <v/>
      </c>
      <c r="J33" s="15">
        <f>Calc!H33</f>
        <v/>
      </c>
      <c r="K33" s="16">
        <f>Calc!AB33</f>
        <v/>
      </c>
      <c r="L33" s="13">
        <f>Calc!AJ33</f>
        <v/>
      </c>
      <c r="M33" s="12">
        <f>Calc!AK33</f>
        <v/>
      </c>
      <c r="N33" s="12">
        <f>Calc!AL33</f>
        <v/>
      </c>
      <c r="O33" s="13">
        <f>Calc!AI33</f>
        <v/>
      </c>
    </row>
    <row r="34">
      <c r="A34" s="13">
        <f>Calc!A34</f>
        <v/>
      </c>
      <c r="B34" s="13">
        <f>IF(A34="","",Reps!B34&amp;"")</f>
        <v/>
      </c>
      <c r="C34" s="13">
        <f>Calc!B34</f>
        <v/>
      </c>
      <c r="D34" s="12">
        <f>IF(A34="","",Reps!D34)</f>
        <v/>
      </c>
      <c r="E34" s="15">
        <f>Calc!C34</f>
        <v/>
      </c>
      <c r="F34" s="15">
        <f>Calc!D34</f>
        <v/>
      </c>
      <c r="G34" s="15">
        <f>Calc!E34</f>
        <v/>
      </c>
      <c r="H34" s="15">
        <f>Calc!F34</f>
        <v/>
      </c>
      <c r="I34" s="15">
        <f>Calc!G34</f>
        <v/>
      </c>
      <c r="J34" s="15">
        <f>Calc!H34</f>
        <v/>
      </c>
      <c r="K34" s="16">
        <f>Calc!AB34</f>
        <v/>
      </c>
      <c r="L34" s="13">
        <f>Calc!AJ34</f>
        <v/>
      </c>
      <c r="M34" s="12">
        <f>Calc!AK34</f>
        <v/>
      </c>
      <c r="N34" s="12">
        <f>Calc!AL34</f>
        <v/>
      </c>
      <c r="O34" s="13">
        <f>Calc!AI34</f>
        <v/>
      </c>
    </row>
    <row r="36">
      <c r="A36" s="3" t="inlineStr">
        <is>
          <t>Team</t>
        </is>
      </c>
      <c r="E36" s="18">
        <f>Team!B7</f>
        <v/>
      </c>
      <c r="F36" s="18">
        <f>Team!B10</f>
        <v/>
      </c>
      <c r="G36" s="18">
        <f>Team!B11</f>
        <v/>
      </c>
      <c r="H36" s="18">
        <f>Team!B12</f>
        <v/>
      </c>
      <c r="I36" s="18">
        <f>Team!B14</f>
        <v/>
      </c>
      <c r="J36" s="18">
        <f>Team!B15</f>
        <v/>
      </c>
      <c r="K36" s="19">
        <f>Team!B17</f>
        <v/>
      </c>
      <c r="L36" s="2" t="inlineStr">
        <is>
          <t>Team rates are totals, the score is the rep average</t>
        </is>
      </c>
    </row>
  </sheetData>
  <conditionalFormatting sqref="L5:L34">
    <cfRule type="expression" priority="1" dxfId="0">
      <formula>L5=Setup!$A$10</formula>
    </cfRule>
    <cfRule type="expression" priority="2" dxfId="1">
      <formula>L5=Setup!$A$11</formula>
    </cfRule>
    <cfRule type="expression" priority="3" dxfId="2">
      <formula>L5=Setup!$A$12</formula>
    </cfRule>
    <cfRule type="expression" priority="4" dxfId="3">
      <formula>L5=Setup!$A$13</formula>
    </cfRule>
  </conditionalFormatting>
  <pageMargins left="0.75" right="0.75" top="1" bottom="1" header="0.5" footer="0.5"/>
  <drawing xmlns:r="http://schemas.openxmlformats.org/officeDocument/2006/relationships" r:id="rId1"/>
</worksheet>
</file>

<file path=xl/worksheets/sheet7.xml><?xml version="1.0" encoding="utf-8"?>
<worksheet xmlns="http://schemas.openxmlformats.org/spreadsheetml/2006/main">
  <sheetPr>
    <outlinePr summaryBelow="1" summaryRight="1"/>
    <pageSetUpPr/>
  </sheetPr>
  <dimension ref="A1:I34"/>
  <sheetViews>
    <sheetView showGridLines="1" workbookViewId="0">
      <selection activeCell="A1" sqref="A1"/>
    </sheetView>
  </sheetViews>
  <sheetFormatPr baseColWidth="8" defaultRowHeight="15"/>
  <cols>
    <col width="26" customWidth="1" min="1" max="1"/>
    <col width="12" customWidth="1" min="2" max="2"/>
    <col width="14" customWidth="1" min="3" max="3"/>
    <col width="11" customWidth="1" min="4" max="4"/>
    <col width="12" customWidth="1" min="5" max="5"/>
    <col width="9" customWidth="1" min="6" max="6"/>
    <col width="9" customWidth="1" min="7" max="7"/>
    <col width="13" customWidth="1" min="8" max="8"/>
    <col width="14" customWidth="1" min="9" max="9"/>
  </cols>
  <sheetData>
    <row r="1">
      <c r="A1" s="1" t="inlineStr">
        <is>
          <t>Rep view</t>
        </is>
      </c>
    </row>
    <row r="2">
      <c r="A2" s="2" t="inlineStr">
        <is>
          <t>The one-on-one page. Pick a rep in B4.</t>
        </is>
      </c>
    </row>
    <row r="4">
      <c r="A4" s="3" t="inlineStr">
        <is>
          <t>Rep</t>
        </is>
      </c>
      <c r="B4" s="5" t="inlineStr">
        <is>
          <t>Tom Reyes</t>
        </is>
      </c>
    </row>
    <row r="5">
      <c r="A5" t="inlineStr">
        <is>
          <t>Row</t>
        </is>
      </c>
      <c r="B5" s="12">
        <f>IFERROR(MATCH(B4,Reps!$A$5:$A$34,0),"")</f>
        <v/>
      </c>
      <c r="C5" s="2" t="inlineStr">
        <is>
          <t>Helper: position of the rep in the list</t>
        </is>
      </c>
    </row>
    <row r="6">
      <c r="A6" t="inlineStr">
        <is>
          <t>Profile</t>
        </is>
      </c>
      <c r="B6" s="13">
        <f>IF(B5="","",INDEX(Calc!$B$5:$B$34,B5))</f>
        <v/>
      </c>
    </row>
    <row r="7">
      <c r="A7" t="inlineStr">
        <is>
          <t>Weighted score</t>
        </is>
      </c>
      <c r="B7" s="19">
        <f>IF(B5="","",INDEX(Calc!$AB$5:$AB$34,B5))</f>
        <v/>
      </c>
    </row>
    <row r="8">
      <c r="A8" t="inlineStr">
        <is>
          <t>Rating</t>
        </is>
      </c>
      <c r="B8" s="17">
        <f>IF(B5="","",INDEX(Calc!$AJ$5:$AJ$34,B5))</f>
        <v/>
      </c>
    </row>
    <row r="9">
      <c r="A9" t="inlineStr">
        <is>
          <t>Rank</t>
        </is>
      </c>
      <c r="B9" s="13">
        <f>IF(B5="","",INDEX(Calc!$AK$5:$AK$34,B5)&amp;" of "&amp;COUNT(Calc!$AB$5:$AB$34)&amp;" (attainment alone: "&amp;INDEX(Calc!$AL$5:$AL$34,B5)&amp;")")</f>
        <v/>
      </c>
    </row>
    <row r="10">
      <c r="A10" t="inlineStr">
        <is>
          <t>Start the 1:1 with</t>
        </is>
      </c>
      <c r="B10" s="17">
        <f>IF(B5="","",INDEX(Calc!$AI$5:$AI$34,B5))</f>
        <v/>
      </c>
    </row>
    <row r="12" ht="32" customHeight="1">
      <c r="A12" s="9" t="inlineStr">
        <is>
          <t>Metric</t>
        </is>
      </c>
      <c r="B12" s="10" t="inlineStr">
        <is>
          <t>Type</t>
        </is>
      </c>
      <c r="C12" s="10" t="inlineStr">
        <is>
          <t>Actual</t>
        </is>
      </c>
      <c r="D12" s="10" t="inlineStr">
        <is>
          <t>Floor (0)</t>
        </is>
      </c>
      <c r="E12" s="10" t="inlineStr">
        <is>
          <t>Target (100)</t>
        </is>
      </c>
      <c r="F12" s="10" t="inlineStr">
        <is>
          <t>Score</t>
        </is>
      </c>
      <c r="G12" s="10" t="inlineStr">
        <is>
          <t>Weight</t>
        </is>
      </c>
      <c r="H12" s="10" t="inlineStr">
        <is>
          <t>Points in score</t>
        </is>
      </c>
      <c r="I12" s="10" t="inlineStr">
        <is>
          <t>Points below target</t>
        </is>
      </c>
    </row>
    <row r="13">
      <c r="A13" t="inlineStr">
        <is>
          <t>Quota attainment</t>
        </is>
      </c>
      <c r="B13" t="inlineStr">
        <is>
          <t>Outcome</t>
        </is>
      </c>
      <c r="C13" s="15">
        <f>IF($B$5="","",INDEX(Calc!$C$5:$C$34,$B$5))</f>
        <v/>
      </c>
      <c r="D13" s="15">
        <f>IF($B$5="","",SUMIFS(Setup!$E$16:$E$33,Setup!$A$16:$A$33,$B$6,Setup!$B$16:$B$33,A13))</f>
        <v/>
      </c>
      <c r="E13" s="15">
        <f>IF($B$5="","",SUMIFS(Setup!$F$16:$F$33,Setup!$A$16:$A$33,$B$6,Setup!$B$16:$B$33,A13))</f>
        <v/>
      </c>
      <c r="F13" s="16">
        <f>IF($B$5="","",INDEX(Calc!$I$5:$I$34,$B$5))</f>
        <v/>
      </c>
      <c r="G13" s="12">
        <f>IF($B$5="","",INDEX(Calc!$O$5:$O$34,$B$5))</f>
        <v/>
      </c>
      <c r="H13" s="16">
        <f>IF(OR($B$5="",N(INDEX(Calc!$AA$5:$AA$34,$B$5))&lt;=0),"",INDEX(Calc!$U$5:$U$34,$B$5)/INDEX(Calc!$AA$5:$AA$34,$B$5))</f>
        <v/>
      </c>
      <c r="I13" s="16">
        <f>IF($B$5="","",INDEX(Calc!$AC$5:$AC$34,$B$5))</f>
        <v/>
      </c>
    </row>
    <row r="14">
      <c r="A14" t="inlineStr">
        <is>
          <t>Pipeline created</t>
        </is>
      </c>
      <c r="B14" t="inlineStr">
        <is>
          <t>Leading</t>
        </is>
      </c>
      <c r="C14" s="15">
        <f>IF($B$5="","",INDEX(Calc!$D$5:$D$34,$B$5))</f>
        <v/>
      </c>
      <c r="D14" s="15">
        <f>IF($B$5="","",SUMIFS(Setup!$E$16:$E$33,Setup!$A$16:$A$33,$B$6,Setup!$B$16:$B$33,A14))</f>
        <v/>
      </c>
      <c r="E14" s="15">
        <f>IF($B$5="","",SUMIFS(Setup!$F$16:$F$33,Setup!$A$16:$A$33,$B$6,Setup!$B$16:$B$33,A14))</f>
        <v/>
      </c>
      <c r="F14" s="16">
        <f>IF($B$5="","",INDEX(Calc!$J$5:$J$34,$B$5))</f>
        <v/>
      </c>
      <c r="G14" s="12">
        <f>IF($B$5="","",INDEX(Calc!$P$5:$P$34,$B$5))</f>
        <v/>
      </c>
      <c r="H14" s="16">
        <f>IF(OR($B$5="",N(INDEX(Calc!$AA$5:$AA$34,$B$5))&lt;=0),"",INDEX(Calc!$V$5:$V$34,$B$5)/INDEX(Calc!$AA$5:$AA$34,$B$5))</f>
        <v/>
      </c>
      <c r="I14" s="16">
        <f>IF($B$5="","",INDEX(Calc!$AD$5:$AD$34,$B$5))</f>
        <v/>
      </c>
    </row>
    <row r="15">
      <c r="A15" t="inlineStr">
        <is>
          <t>Stage conversion</t>
        </is>
      </c>
      <c r="B15" t="inlineStr">
        <is>
          <t>Leading</t>
        </is>
      </c>
      <c r="C15" s="15">
        <f>IF($B$5="","",INDEX(Calc!$E$5:$E$34,$B$5))</f>
        <v/>
      </c>
      <c r="D15" s="15">
        <f>IF($B$5="","",SUMIFS(Setup!$E$16:$E$33,Setup!$A$16:$A$33,$B$6,Setup!$B$16:$B$33,A15))</f>
        <v/>
      </c>
      <c r="E15" s="15">
        <f>IF($B$5="","",SUMIFS(Setup!$F$16:$F$33,Setup!$A$16:$A$33,$B$6,Setup!$B$16:$B$33,A15))</f>
        <v/>
      </c>
      <c r="F15" s="16">
        <f>IF($B$5="","",INDEX(Calc!$K$5:$K$34,$B$5))</f>
        <v/>
      </c>
      <c r="G15" s="12">
        <f>IF($B$5="","",INDEX(Calc!$Q$5:$Q$34,$B$5))</f>
        <v/>
      </c>
      <c r="H15" s="16">
        <f>IF(OR($B$5="",N(INDEX(Calc!$AA$5:$AA$34,$B$5))&lt;=0),"",INDEX(Calc!$W$5:$W$34,$B$5)/INDEX(Calc!$AA$5:$AA$34,$B$5))</f>
        <v/>
      </c>
      <c r="I15" s="16">
        <f>IF($B$5="","",INDEX(Calc!$AE$5:$AE$34,$B$5))</f>
        <v/>
      </c>
    </row>
    <row r="16">
      <c r="A16" t="inlineStr">
        <is>
          <t>Win rate</t>
        </is>
      </c>
      <c r="B16" t="inlineStr">
        <is>
          <t>Outcome</t>
        </is>
      </c>
      <c r="C16" s="15">
        <f>IF($B$5="","",INDEX(Calc!$F$5:$F$34,$B$5))</f>
        <v/>
      </c>
      <c r="D16" s="15">
        <f>IF($B$5="","",SUMIFS(Setup!$E$16:$E$33,Setup!$A$16:$A$33,$B$6,Setup!$B$16:$B$33,A16))</f>
        <v/>
      </c>
      <c r="E16" s="15">
        <f>IF($B$5="","",SUMIFS(Setup!$F$16:$F$33,Setup!$A$16:$A$33,$B$6,Setup!$B$16:$B$33,A16))</f>
        <v/>
      </c>
      <c r="F16" s="16">
        <f>IF($B$5="","",INDEX(Calc!$L$5:$L$34,$B$5))</f>
        <v/>
      </c>
      <c r="G16" s="12">
        <f>IF($B$5="","",INDEX(Calc!$R$5:$R$34,$B$5))</f>
        <v/>
      </c>
      <c r="H16" s="16">
        <f>IF(OR($B$5="",N(INDEX(Calc!$AA$5:$AA$34,$B$5))&lt;=0),"",INDEX(Calc!$X$5:$X$34,$B$5)/INDEX(Calc!$AA$5:$AA$34,$B$5))</f>
        <v/>
      </c>
      <c r="I16" s="16">
        <f>IF($B$5="","",INDEX(Calc!$AF$5:$AF$34,$B$5))</f>
        <v/>
      </c>
    </row>
    <row r="17">
      <c r="A17" t="inlineStr">
        <is>
          <t>Forecast accuracy</t>
        </is>
      </c>
      <c r="B17" t="inlineStr">
        <is>
          <t>Outcome</t>
        </is>
      </c>
      <c r="C17" s="15">
        <f>IF($B$5="","",INDEX(Calc!$G$5:$G$34,$B$5))</f>
        <v/>
      </c>
      <c r="D17" s="15">
        <f>IF($B$5="","",SUMIFS(Setup!$E$16:$E$33,Setup!$A$16:$A$33,$B$6,Setup!$B$16:$B$33,A17))</f>
        <v/>
      </c>
      <c r="E17" s="15">
        <f>IF($B$5="","",SUMIFS(Setup!$F$16:$F$33,Setup!$A$16:$A$33,$B$6,Setup!$B$16:$B$33,A17))</f>
        <v/>
      </c>
      <c r="F17" s="16">
        <f>IF($B$5="","",INDEX(Calc!$M$5:$M$34,$B$5))</f>
        <v/>
      </c>
      <c r="G17" s="12">
        <f>IF($B$5="","",INDEX(Calc!$S$5:$S$34,$B$5))</f>
        <v/>
      </c>
      <c r="H17" s="16">
        <f>IF(OR($B$5="",N(INDEX(Calc!$AA$5:$AA$34,$B$5))&lt;=0),"",INDEX(Calc!$Y$5:$Y$34,$B$5)/INDEX(Calc!$AA$5:$AA$34,$B$5))</f>
        <v/>
      </c>
      <c r="I17" s="16">
        <f>IF($B$5="","",INDEX(Calc!$AG$5:$AG$34,$B$5))</f>
        <v/>
      </c>
    </row>
    <row r="18">
      <c r="A18" t="inlineStr">
        <is>
          <t>Stale pipeline</t>
        </is>
      </c>
      <c r="B18" t="inlineStr">
        <is>
          <t>Leading</t>
        </is>
      </c>
      <c r="C18" s="15">
        <f>IF($B$5="","",INDEX(Calc!$H$5:$H$34,$B$5))</f>
        <v/>
      </c>
      <c r="D18" s="15">
        <f>IF($B$5="","",SUMIFS(Setup!$E$16:$E$33,Setup!$A$16:$A$33,$B$6,Setup!$B$16:$B$33,A18))</f>
        <v/>
      </c>
      <c r="E18" s="15">
        <f>IF($B$5="","",SUMIFS(Setup!$F$16:$F$33,Setup!$A$16:$A$33,$B$6,Setup!$B$16:$B$33,A18))</f>
        <v/>
      </c>
      <c r="F18" s="16">
        <f>IF($B$5="","",INDEX(Calc!$N$5:$N$34,$B$5))</f>
        <v/>
      </c>
      <c r="G18" s="12">
        <f>IF($B$5="","",INDEX(Calc!$T$5:$T$34,$B$5))</f>
        <v/>
      </c>
      <c r="H18" s="16">
        <f>IF(OR($B$5="",N(INDEX(Calc!$AA$5:$AA$34,$B$5))&lt;=0),"",INDEX(Calc!$Z$5:$Z$34,$B$5)/INDEX(Calc!$AA$5:$AA$34,$B$5))</f>
        <v/>
      </c>
      <c r="I18" s="16">
        <f>IF($B$5="","",INDEX(Calc!$AH$5:$AH$34,$B$5))</f>
        <v/>
      </c>
    </row>
    <row r="19">
      <c r="A19" s="3" t="inlineStr">
        <is>
          <t>Total</t>
        </is>
      </c>
      <c r="G19" s="20">
        <f>IF($B$5="","",SUM(G13:G18))</f>
        <v/>
      </c>
      <c r="H19" s="19">
        <f>IF($B$5="","",SUM(H13:H18))</f>
        <v/>
      </c>
      <c r="I19" s="19">
        <f>IF($B$5="","",SUM(I13:I18))</f>
        <v/>
      </c>
    </row>
    <row r="20">
      <c r="A20" s="2" t="inlineStr">
        <is>
          <t>Points in score add up to the weighted score. Points below target show where the shortfall sits.</t>
        </is>
      </c>
    </row>
    <row r="22">
      <c r="A22" s="21" t="inlineStr">
        <is>
          <t>The numbers behind it</t>
        </is>
      </c>
      <c r="B22" s="22" t="n"/>
      <c r="C22" s="22" t="n"/>
      <c r="D22" s="22" t="n"/>
      <c r="E22" s="22" t="n"/>
      <c r="F22" s="22" t="n"/>
      <c r="G22" s="22" t="n"/>
      <c r="H22" s="22" t="n"/>
      <c r="I22" s="22" t="n"/>
    </row>
    <row r="23">
      <c r="A23" t="inlineStr">
        <is>
          <t>Quarterly quota (full)</t>
        </is>
      </c>
      <c r="C23" s="23">
        <f>IF($B$5="","",INDEX(Reps!$E$5:$E$34,$B$5))</f>
        <v/>
      </c>
    </row>
    <row r="24">
      <c r="A24" t="inlineStr">
        <is>
          <t>Bookings counted to quota</t>
        </is>
      </c>
      <c r="C24" s="23">
        <f>IF($B$5="","",INDEX(Actuals!$B$5:$B$34,$B$5))</f>
        <v/>
      </c>
    </row>
    <row r="25">
      <c r="A25" t="inlineStr">
        <is>
          <t>Pipeline created target</t>
        </is>
      </c>
      <c r="C25" s="23">
        <f>IF($B$5="","",INDEX(Reps!$F$5:$F$34,$B$5))</f>
        <v/>
      </c>
    </row>
    <row r="26">
      <c r="A26" t="inlineStr">
        <is>
          <t>Pipeline created</t>
        </is>
      </c>
      <c r="C26" s="23">
        <f>IF($B$5="","",INDEX(Actuals!$C$5:$C$34,$B$5))</f>
        <v/>
      </c>
    </row>
    <row r="27">
      <c r="A27" t="inlineStr">
        <is>
          <t>Commit called at snapshot</t>
        </is>
      </c>
      <c r="C27" s="23">
        <f>IF($B$5="","",INDEX(Actuals!$H$5:$H$34,$B$5))</f>
        <v/>
      </c>
    </row>
    <row r="28">
      <c r="A28" t="inlineStr">
        <is>
          <t>Tenure (months)</t>
        </is>
      </c>
      <c r="C28" s="12">
        <f>IF($B$5="","",INDEX(Reps!$D$5:$D$34,$B$5))</f>
        <v/>
      </c>
    </row>
    <row r="29">
      <c r="A29" t="inlineStr">
        <is>
          <t>Forecast bias</t>
        </is>
      </c>
      <c r="C29" s="13">
        <f>IF($B$5="","",INDEX(Calc!$AM$5:$AM$34,$B$5))</f>
        <v/>
      </c>
    </row>
    <row r="31">
      <c r="A31" s="3" t="inlineStr">
        <is>
          <t>Notes for the 1:1</t>
        </is>
      </c>
      <c r="B31" s="5" t="n"/>
    </row>
    <row r="32"/>
    <row r="33"/>
    <row r="34"/>
  </sheetData>
  <mergeCells count="1">
    <mergeCell ref="B31:I34"/>
  </mergeCells>
  <dataValidations count="1">
    <dataValidation sqref="B4" showDropDown="0" showInputMessage="0" showErrorMessage="0" allowBlank="1" type="list">
      <formula1>=Reps!$A$5:$A$34</formula1>
    </dataValidation>
  </dataValidation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38"/>
  <sheetViews>
    <sheetView showGridLines="1" workbookViewId="0">
      <selection activeCell="A1" sqref="A1"/>
    </sheetView>
  </sheetViews>
  <sheetFormatPr baseColWidth="8" defaultRowHeight="15"/>
  <cols>
    <col width="34" customWidth="1" min="1" max="1"/>
    <col width="16" customWidth="1" min="2" max="2"/>
    <col width="22" customWidth="1" min="3" max="3"/>
  </cols>
  <sheetData>
    <row r="1">
      <c r="A1" s="1" t="inlineStr">
        <is>
          <t>Team</t>
        </is>
      </c>
    </row>
    <row r="2">
      <c r="A2" s="2" t="inlineStr">
        <is>
          <t>Team totals and the spread behind them.</t>
        </is>
      </c>
    </row>
    <row r="4">
      <c r="A4" t="inlineStr">
        <is>
          <t>Reps scored</t>
        </is>
      </c>
      <c r="B4" s="12">
        <f>COUNT(Calc!$AB$5:$AB$34)</f>
        <v/>
      </c>
    </row>
    <row r="5">
      <c r="A5" t="inlineStr">
        <is>
          <t>Team quota</t>
        </is>
      </c>
      <c r="B5" s="23">
        <f>SUM(Reps!$E$5:$E$34)</f>
        <v/>
      </c>
    </row>
    <row r="6">
      <c r="A6" t="inlineStr">
        <is>
          <t>Team bookings</t>
        </is>
      </c>
      <c r="B6" s="23">
        <f>SUM(Actuals!$B$5:$B$34)</f>
        <v/>
      </c>
    </row>
    <row r="7">
      <c r="A7" t="inlineStr">
        <is>
          <t>Team attainment</t>
        </is>
      </c>
      <c r="B7" s="18">
        <f>IF(B5&gt;0,B6/B5,"")</f>
        <v/>
      </c>
    </row>
    <row r="8">
      <c r="A8" t="inlineStr">
        <is>
          <t>Pipeline created target</t>
        </is>
      </c>
      <c r="B8" s="23">
        <f>SUM(Reps!$F$5:$F$34)</f>
        <v/>
      </c>
    </row>
    <row r="9">
      <c r="A9" t="inlineStr">
        <is>
          <t>Pipeline created</t>
        </is>
      </c>
      <c r="B9" s="23">
        <f>SUM(Actuals!$C$5:$C$34)</f>
        <v/>
      </c>
    </row>
    <row r="10">
      <c r="A10" t="inlineStr">
        <is>
          <t>Pipeline created vs target</t>
        </is>
      </c>
      <c r="B10" s="15">
        <f>IF(B8&gt;0,B9/B8,"")</f>
        <v/>
      </c>
    </row>
    <row r="11">
      <c r="A11" t="inlineStr">
        <is>
          <t>Stage conversion (all Stage 2 exits)</t>
        </is>
      </c>
      <c r="B11" s="15">
        <f>IF(SUM(Actuals!$D$5:$D$34)&gt;0,SUM(Actuals!$E$5:$E$34)/SUM(Actuals!$D$5:$D$34),"")</f>
        <v/>
      </c>
    </row>
    <row r="12">
      <c r="A12" t="inlineStr">
        <is>
          <t>Win rate (all decided deals)</t>
        </is>
      </c>
      <c r="B12" s="15">
        <f>IF(SUM(Actuals!$F$5:$F$34)+SUM(Actuals!$G$5:$G$34)&gt;0,SUM(Actuals!$F$5:$F$34)/(SUM(Actuals!$F$5:$F$34)+SUM(Actuals!$G$5:$G$34)),"")</f>
        <v/>
      </c>
    </row>
    <row r="13">
      <c r="A13" t="inlineStr">
        <is>
          <t>Team commit at snapshot</t>
        </is>
      </c>
      <c r="B13" s="23">
        <f>SUM(Actuals!$H$5:$H$34)</f>
        <v/>
      </c>
    </row>
    <row r="14">
      <c r="A14" t="inlineStr">
        <is>
          <t>Team forecast accuracy</t>
        </is>
      </c>
      <c r="B14" s="15">
        <f>IF(B6&gt;0,MAX(0,1-ABS(B6-B13)/B6),"")</f>
        <v/>
      </c>
      <c r="C14" s="2" t="inlineStr">
        <is>
          <t>Team accuracy is usually higher than the rep average: over-calls and under-calls cancel out in the total.</t>
        </is>
      </c>
    </row>
    <row r="15">
      <c r="A15" t="inlineStr">
        <is>
          <t>Stale share of open deals</t>
        </is>
      </c>
      <c r="B15" s="15">
        <f>IF(SUM(Actuals!$I$5:$I$34)&gt;0,SUM(Actuals!$J$5:$J$34)/SUM(Actuals!$I$5:$I$34),"")</f>
        <v/>
      </c>
    </row>
    <row r="16">
      <c r="A16" t="inlineStr">
        <is>
          <t>Average rep forecast accuracy</t>
        </is>
      </c>
      <c r="B16" s="15">
        <f>IFERROR(AVERAGE(Calc!$G$5:$G$34),"")</f>
        <v/>
      </c>
    </row>
    <row r="17">
      <c r="A17" t="inlineStr">
        <is>
          <t>Average weighted score</t>
        </is>
      </c>
      <c r="B17" s="19">
        <f>IFERROR(AVERAGE(Calc!$AB$5:$AB$34),"")</f>
        <v/>
      </c>
    </row>
    <row r="18">
      <c r="A18" t="inlineStr">
        <is>
          <t>Median rep attainment</t>
        </is>
      </c>
      <c r="B18" s="15">
        <f>IFERROR(MEDIAN(Calc!$C$5:$C$34),"")</f>
        <v/>
      </c>
      <c r="C18" s="2" t="inlineStr">
        <is>
          <t>Compare with team attainment: a median well below it means a few reps carry the number.</t>
        </is>
      </c>
    </row>
    <row r="20">
      <c r="A20" s="21" t="inlineStr">
        <is>
          <t>Attainment distribution (against full quota)</t>
        </is>
      </c>
      <c r="B20" s="22" t="n"/>
      <c r="C20" s="22" t="n"/>
    </row>
    <row r="21" ht="32" customHeight="1">
      <c r="A21" s="9" t="inlineStr">
        <is>
          <t>Band</t>
        </is>
      </c>
      <c r="B21" s="10" t="inlineStr">
        <is>
          <t>Reps</t>
        </is>
      </c>
    </row>
    <row r="22">
      <c r="A22" t="inlineStr">
        <is>
          <t>Below 50%</t>
        </is>
      </c>
      <c r="B22" s="12">
        <f>COUNTIF(Calc!$C$5:$C$34,"&lt;0.5")</f>
        <v/>
      </c>
    </row>
    <row r="23">
      <c r="A23" t="inlineStr">
        <is>
          <t>50% to 80%</t>
        </is>
      </c>
      <c r="B23" s="12">
        <f>COUNTIFS(Calc!$C$5:$C$34,"&gt;=0.5",Calc!$C$5:$C$34,"&lt;0.8")</f>
        <v/>
      </c>
    </row>
    <row r="24">
      <c r="A24" t="inlineStr">
        <is>
          <t>80% to 120%</t>
        </is>
      </c>
      <c r="B24" s="12">
        <f>COUNTIFS(Calc!$C$5:$C$34,"&gt;=0.8",Calc!$C$5:$C$34,"&lt;1.2")</f>
        <v/>
      </c>
    </row>
    <row r="25">
      <c r="A25" t="inlineStr">
        <is>
          <t>120% and above</t>
        </is>
      </c>
      <c r="B25" s="12">
        <f>COUNTIF(Calc!$C$5:$C$34,"&gt;=1.2")</f>
        <v/>
      </c>
    </row>
    <row r="27">
      <c r="A27" s="21" t="inlineStr">
        <is>
          <t>Ratings</t>
        </is>
      </c>
      <c r="B27" s="22" t="n"/>
      <c r="C27" s="22" t="n"/>
    </row>
    <row r="28" ht="32" customHeight="1">
      <c r="A28" s="9" t="inlineStr">
        <is>
          <t>Rating</t>
        </is>
      </c>
      <c r="B28" s="10" t="inlineStr">
        <is>
          <t>Reps</t>
        </is>
      </c>
    </row>
    <row r="29">
      <c r="A29" s="13">
        <f>Setup!A10</f>
        <v/>
      </c>
      <c r="B29" s="12">
        <f>COUNTIF(Calc!$AJ$5:$AJ$34,A29)</f>
        <v/>
      </c>
    </row>
    <row r="30">
      <c r="A30" s="13">
        <f>Setup!A11</f>
        <v/>
      </c>
      <c r="B30" s="12">
        <f>COUNTIF(Calc!$AJ$5:$AJ$34,A30)</f>
        <v/>
      </c>
    </row>
    <row r="31">
      <c r="A31" s="13">
        <f>Setup!A12</f>
        <v/>
      </c>
      <c r="B31" s="12">
        <f>COUNTIF(Calc!$AJ$5:$AJ$34,A31)</f>
        <v/>
      </c>
    </row>
    <row r="32">
      <c r="A32" s="13">
        <f>Setup!A13</f>
        <v/>
      </c>
      <c r="B32" s="12">
        <f>COUNTIF(Calc!$AJ$5:$AJ$34,A32)</f>
        <v/>
      </c>
    </row>
    <row r="34">
      <c r="A34" s="21" t="inlineStr">
        <is>
          <t>By profile</t>
        </is>
      </c>
      <c r="B34" s="22" t="n"/>
      <c r="C34" s="22" t="n"/>
    </row>
    <row r="35" ht="32" customHeight="1">
      <c r="A35" s="9" t="inlineStr">
        <is>
          <t>Profile</t>
        </is>
      </c>
      <c r="B35" s="10" t="inlineStr">
        <is>
          <t>Reps</t>
        </is>
      </c>
      <c r="C35" s="10" t="inlineStr">
        <is>
          <t>Average weighted score</t>
        </is>
      </c>
    </row>
    <row r="36">
      <c r="A36" s="13">
        <f>Setup!J16</f>
        <v/>
      </c>
      <c r="B36" s="12">
        <f>COUNTIF(Calc!$B$5:$B$34,A36)</f>
        <v/>
      </c>
      <c r="C36" s="16">
        <f>IFERROR(AVERAGEIFS(Calc!$AB$5:$AB$34,Calc!$B$5:$B$34,A36),"")</f>
        <v/>
      </c>
    </row>
    <row r="37">
      <c r="A37" s="13">
        <f>Setup!J17</f>
        <v/>
      </c>
      <c r="B37" s="12">
        <f>COUNTIF(Calc!$B$5:$B$34,A37)</f>
        <v/>
      </c>
      <c r="C37" s="16">
        <f>IFERROR(AVERAGEIFS(Calc!$AB$5:$AB$34,Calc!$B$5:$B$34,A37),"")</f>
        <v/>
      </c>
    </row>
    <row r="38">
      <c r="A38" s="13">
        <f>Setup!J18</f>
        <v/>
      </c>
      <c r="B38" s="12">
        <f>COUNTIF(Calc!$B$5:$B$34,A38)</f>
        <v/>
      </c>
      <c r="C38" s="16">
        <f>IFERROR(AVERAGEIFS(Calc!$AB$5:$AB$34,Calc!$B$5:$B$34,A38),"")</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2026-10-25T20:56:20Z</dcterms:created>
  <dcterms:modified xmlns:dcterms="http://purl.org/dc/terms/" xmlns:xsi="http://www.w3.org/2001/XMLSchema-instance" xsi:type="dcterms:W3CDTF">2026-10-25T20:56:20Z</dcterms:modified>
</cp:coreProperties>
</file>