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Plan on a page" sheetId="2" state="visible" r:id="rId2"/>
    <sheet xmlns:r="http://schemas.openxmlformats.org/officeDocument/2006/relationships" name="Assumptions" sheetId="3" state="visible" r:id="rId3"/>
    <sheet xmlns:r="http://schemas.openxmlformats.org/officeDocument/2006/relationships" name="Targets" sheetId="4" state="visible" r:id="rId4"/>
    <sheet xmlns:r="http://schemas.openxmlformats.org/officeDocument/2006/relationships" name="Pipeline" sheetId="5" state="visible" r:id="rId5"/>
    <sheet xmlns:r="http://schemas.openxmlformats.org/officeDocument/2006/relationships" name="Capacity" sheetId="6" state="visible" r:id="rId6"/>
    <sheet xmlns:r="http://schemas.openxmlformats.org/officeDocument/2006/relationships" name="Territories" sheetId="7" state="visible" r:id="rId7"/>
    <sheet xmlns:r="http://schemas.openxmlformats.org/officeDocument/2006/relationships" name="Actions and KPIs" sheetId="8" state="visible" r:id="rId8"/>
    <sheet xmlns:r="http://schemas.openxmlformats.org/officeDocument/2006/relationships" name="Plan vs actual" sheetId="9" state="visible" r:id="rId9"/>
  </sheets>
  <definedNames/>
  <calcPr calcId="124519" fullCalcOnLoad="1"/>
</workbook>
</file>

<file path=xl/styles.xml><?xml version="1.0" encoding="utf-8"?>
<styleSheet xmlns="http://schemas.openxmlformats.org/spreadsheetml/2006/main">
  <numFmts count="5">
    <numFmt numFmtId="164" formatCode="&quot;$&quot;#,##0"/>
    <numFmt numFmtId="165" formatCode="0.0&quot;x&quot;"/>
    <numFmt numFmtId="166" formatCode="yyyy-mm-dd"/>
    <numFmt numFmtId="167" formatCode="#,##0.0"/>
    <numFmt numFmtId="168" formatCode="0.0%"/>
  </numFmts>
  <fonts count="6">
    <font>
      <name val="Calibri"/>
      <family val="2"/>
      <color theme="1"/>
      <sz val="11"/>
      <scheme val="minor"/>
    </font>
    <font>
      <name val="Calibri"/>
      <b val="1"/>
      <color rgb="001F2430"/>
      <sz val="16"/>
    </font>
    <font>
      <name val="Calibri"/>
      <i val="1"/>
      <color rgb="005A5F6B"/>
      <sz val="10"/>
    </font>
    <font>
      <name val="Calibri"/>
      <b val="1"/>
      <color rgb="001F2430"/>
      <sz val="11"/>
    </font>
    <font>
      <name val="Calibri"/>
      <color rgb="001F2430"/>
      <sz val="11"/>
    </font>
    <font>
      <name val="Calibri"/>
      <color rgb="001A4FC4"/>
      <sz val="11"/>
    </font>
  </fonts>
  <fills count="4">
    <fill>
      <patternFill/>
    </fill>
    <fill>
      <patternFill patternType="gray125"/>
    </fill>
    <fill>
      <patternFill patternType="solid">
        <fgColor rgb="00F3F1EE"/>
      </patternFill>
    </fill>
    <fill>
      <patternFill patternType="solid">
        <fgColor rgb="00FFF4CC"/>
      </patternFill>
    </fill>
  </fills>
  <borders count="6">
    <border>
      <left/>
      <right/>
      <top/>
      <bottom/>
      <diagonal/>
    </border>
    <border>
      <left style="thin">
        <color rgb="00D9D6D0"/>
      </left>
      <right style="thin">
        <color rgb="00D9D6D0"/>
      </right>
      <top style="thin">
        <color rgb="00D9D6D0"/>
      </top>
      <bottom style="thin">
        <color rgb="00D9D6D0"/>
      </bottom>
    </border>
    <border>
      <left/>
      <right/>
      <top style="thin">
        <color rgb="00D9D6D0"/>
      </top>
      <bottom/>
      <diagonal/>
    </border>
    <border>
      <left/>
      <right style="thin">
        <color rgb="00D9D6D0"/>
      </right>
      <top style="thin">
        <color rgb="00D9D6D0"/>
      </top>
      <bottom/>
      <diagonal/>
    </border>
    <border>
      <left/>
      <right/>
      <top style="thin">
        <color rgb="00D9D6D0"/>
      </top>
      <bottom style="thin">
        <color rgb="00D9D6D0"/>
      </bottom>
      <diagonal/>
    </border>
    <border>
      <left/>
      <right style="thin">
        <color rgb="00D9D6D0"/>
      </right>
      <top style="thin">
        <color rgb="00D9D6D0"/>
      </top>
      <bottom style="thin">
        <color rgb="00D9D6D0"/>
      </bottom>
      <diagonal/>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4" fillId="0" borderId="0" pivotButton="0" quotePrefix="0" xfId="0"/>
    <xf numFmtId="164" fontId="3" fillId="0" borderId="1" pivotButton="0" quotePrefix="0" xfId="0"/>
    <xf numFmtId="168" fontId="3" fillId="0" borderId="1" pivotButton="0" quotePrefix="0" xfId="0"/>
    <xf numFmtId="0" fontId="3" fillId="0" borderId="1" pivotButton="0" quotePrefix="0" xfId="0"/>
    <xf numFmtId="0" fontId="3" fillId="2" borderId="1" applyAlignment="1" pivotButton="0" quotePrefix="0" xfId="0">
      <alignment vertical="center" wrapText="1"/>
    </xf>
    <xf numFmtId="0" fontId="0" fillId="0" borderId="1" pivotButton="0" quotePrefix="0" xfId="0"/>
    <xf numFmtId="164" fontId="0" fillId="0" borderId="1" pivotButton="0" quotePrefix="0" xfId="0"/>
    <xf numFmtId="9" fontId="0" fillId="0" borderId="1" pivotButton="0" quotePrefix="0" xfId="0"/>
    <xf numFmtId="9" fontId="3" fillId="0" borderId="1" pivotButton="0" quotePrefix="0" xfId="0"/>
    <xf numFmtId="3" fontId="0" fillId="0" borderId="1" pivotButton="0" quotePrefix="0" xfId="0"/>
    <xf numFmtId="3" fontId="3" fillId="0" borderId="1" pivotButton="0" quotePrefix="0" xfId="0"/>
    <xf numFmtId="165" fontId="0" fillId="0" borderId="1" pivotButton="0" quotePrefix="0" xfId="0"/>
    <xf numFmtId="165" fontId="3" fillId="0" borderId="1" pivotButton="0" quotePrefix="0" xfId="0"/>
    <xf numFmtId="166" fontId="0" fillId="0" borderId="1" pivotButton="0" quotePrefix="0" xfId="0"/>
    <xf numFmtId="168" fontId="0" fillId="0" borderId="1" pivotButton="0" quotePrefix="0" xfId="0"/>
    <xf numFmtId="0" fontId="5" fillId="3" borderId="1" pivotButton="0" quotePrefix="0" xfId="0"/>
    <xf numFmtId="0" fontId="0" fillId="0" borderId="4" pivotButton="0" quotePrefix="0" xfId="0"/>
    <xf numFmtId="0" fontId="0" fillId="0" borderId="5" pivotButton="0" quotePrefix="0" xfId="0"/>
    <xf numFmtId="164" fontId="5" fillId="3" borderId="1" pivotButton="0" quotePrefix="0" xfId="0"/>
    <xf numFmtId="9" fontId="5" fillId="3" borderId="1" pivotButton="0" quotePrefix="0" xfId="0"/>
    <xf numFmtId="3" fontId="5" fillId="3" borderId="1" pivotButton="0" quotePrefix="0" xfId="0"/>
    <xf numFmtId="165" fontId="5" fillId="3" borderId="1" pivotButton="0" quotePrefix="0" xfId="0"/>
    <xf numFmtId="0" fontId="5" fillId="3" borderId="1" applyAlignment="1" pivotButton="0" quotePrefix="0" xfId="0">
      <alignment vertical="top" wrapText="1"/>
    </xf>
    <xf numFmtId="166" fontId="5" fillId="3" borderId="1" pivotButton="0" quotePrefix="0" xfId="0"/>
    <xf numFmtId="167" fontId="0" fillId="0" borderId="1" pivotButton="0" quotePrefix="0" xfId="0"/>
    <xf numFmtId="167" fontId="3" fillId="0" borderId="1" pivotButton="0" quotePrefix="0" xfId="0"/>
    <xf numFmtId="164" fontId="0" fillId="3" borderId="1" pivotButton="0" quotePrefix="0" xfId="0"/>
    <xf numFmtId="2" fontId="0" fillId="0" borderId="1" pivotButton="0" quotePrefix="0" xfId="0"/>
    <xf numFmtId="166" fontId="5" fillId="3" borderId="1" applyAlignment="1" pivotButton="0" quotePrefix="0" xfId="0">
      <alignment vertical="top"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8"/>
  <sheetViews>
    <sheetView showGridLines="0" workbookViewId="0">
      <selection activeCell="A1" sqref="A1"/>
    </sheetView>
  </sheetViews>
  <sheetFormatPr baseColWidth="8" defaultRowHeight="15"/>
  <cols>
    <col width="18" customWidth="1" min="1" max="1"/>
    <col width="120" customWidth="1" min="2" max="2"/>
  </cols>
  <sheetData>
    <row r="1">
      <c r="A1" s="1" t="inlineStr">
        <is>
          <t>Sales plan template</t>
        </is>
      </c>
    </row>
    <row r="2">
      <c r="A2" s="2" t="inlineStr">
        <is>
          <t>ORM Technologies, orm-tech.com/tools/sales-plan-template/. Free to copy and adapt.</t>
        </is>
      </c>
    </row>
    <row r="4">
      <c r="A4" s="3" t="inlineStr">
        <is>
          <t>What this is</t>
        </is>
      </c>
      <c r="B4" s="4" t="inlineStr"/>
    </row>
    <row r="5">
      <c r="A5" s="5" t="inlineStr"/>
      <c r="B5" s="4" t="inlineStr">
        <is>
          <t>A sales plan template that ties the revenue target to the pipeline, the people and the quotas needed to hit it.</t>
        </is>
      </c>
    </row>
    <row r="6">
      <c r="A6" s="5" t="inlineStr"/>
      <c r="B6" s="4" t="inlineStr">
        <is>
          <t>Every number on 'Plan on a page' is calculated from the tabs behind it, so a change to one assumption flows through the whole plan.</t>
        </is>
      </c>
    </row>
    <row r="7">
      <c r="A7" s="5" t="inlineStr"/>
      <c r="B7" s="4" t="inlineStr">
        <is>
          <t>Example version: the numbers are illustrative (a made-up B2B SaaS company with two segments). Blank version: same formulas, no inputs.</t>
        </is>
      </c>
    </row>
    <row r="8">
      <c r="A8" s="5" t="inlineStr"/>
      <c r="B8" s="4" t="inlineStr"/>
    </row>
    <row r="9">
      <c r="A9" s="3" t="inlineStr">
        <is>
          <t>How to fill it in</t>
        </is>
      </c>
      <c r="B9" s="4" t="inlineStr"/>
    </row>
    <row r="10">
      <c r="A10" s="3" t="inlineStr">
        <is>
          <t>1</t>
        </is>
      </c>
      <c r="B10" s="4" t="inlineStr">
        <is>
          <t>Targets: enter the plan year start date, the company bookings target, each segment's share, and the quarter and month weights.</t>
        </is>
      </c>
    </row>
    <row r="11">
      <c r="A11" s="3" t="inlineStr">
        <is>
          <t>2</t>
        </is>
      </c>
      <c r="B11" s="4" t="inlineStr">
        <is>
          <t>Assumptions: per segment, enter average deal size, win rate, sales cycle, quota, planned attainment and the ramp curve. Log every change from last year with the reason.</t>
        </is>
      </c>
    </row>
    <row r="12">
      <c r="A12" s="3" t="inlineStr">
        <is>
          <t>3</t>
        </is>
      </c>
      <c r="B12" s="4" t="inlineStr">
        <is>
          <t>Pipeline: nothing to type. It shows the deals, opportunities and pipeline each segment needs, and the date each quarter's pipeline must exist by.</t>
        </is>
      </c>
    </row>
    <row r="13">
      <c r="A13" s="3" t="inlineStr">
        <is>
          <t>4</t>
        </is>
      </c>
      <c r="B13" s="4" t="inlineStr">
        <is>
          <t>Capacity: list every rep and open role with segment, tenure at plan start, and start month for new hires. It returns expected bookings and assigned quota.</t>
        </is>
      </c>
    </row>
    <row r="14">
      <c r="A14" s="3" t="inlineStr">
        <is>
          <t>5</t>
        </is>
      </c>
      <c r="B14" s="4" t="inlineStr">
        <is>
          <t>Territories: one row per territory with its quota and addressable market. It flags any territory under the market-to-quota multiple.</t>
        </is>
      </c>
    </row>
    <row r="15">
      <c r="A15" s="3" t="inlineStr">
        <is>
          <t>6</t>
        </is>
      </c>
      <c r="B15" s="4" t="inlineStr">
        <is>
          <t>Actions and KPIs: owners, dates and the leading indicators you will review. Plan vs actual: fill in actuals each quarter.</t>
        </is>
      </c>
    </row>
    <row r="16">
      <c r="A16" s="5" t="inlineStr"/>
      <c r="B16" s="4" t="inlineStr"/>
    </row>
    <row r="17">
      <c r="A17" s="3" t="inlineStr">
        <is>
          <t>Colors</t>
        </is>
      </c>
      <c r="B17" s="4" t="inlineStr"/>
    </row>
    <row r="18">
      <c r="A18" s="3" t="inlineStr">
        <is>
          <t>Yellow cells</t>
        </is>
      </c>
      <c r="B18" s="4" t="inlineStr">
        <is>
          <t>Inputs. Type over them.</t>
        </is>
      </c>
    </row>
    <row r="19">
      <c r="A19" s="3" t="inlineStr">
        <is>
          <t>White cells</t>
        </is>
      </c>
      <c r="B19" s="4" t="inlineStr">
        <is>
          <t>Formulas. Leave them alone unless you mean to change the method.</t>
        </is>
      </c>
    </row>
    <row r="20">
      <c r="A20" s="5" t="inlineStr"/>
      <c r="B20" s="4" t="inlineStr"/>
    </row>
    <row r="21">
      <c r="A21" s="3" t="inlineStr">
        <is>
          <t>Google Sheets</t>
        </is>
      </c>
      <c r="B21" s="4" t="inlineStr"/>
    </row>
    <row r="22">
      <c r="A22" s="5" t="inlineStr"/>
      <c r="B22" s="4" t="inlineStr">
        <is>
          <t>Upload the file to Google Drive and choose Open with &gt; Google Sheets, or in Sheets use File &gt; Import &gt; Upload. All formulas work in both.</t>
        </is>
      </c>
    </row>
    <row r="23">
      <c r="A23" s="5" t="inlineStr"/>
      <c r="B23" s="4" t="inlineStr"/>
    </row>
    <row r="24">
      <c r="A24" s="3" t="inlineStr">
        <is>
          <t>Method notes</t>
        </is>
      </c>
      <c r="B24" s="4" t="inlineStr"/>
    </row>
    <row r="25">
      <c r="A25" s="5" t="inlineStr"/>
      <c r="B25" s="4" t="inlineStr">
        <is>
          <t>Pipeline needed = segment target / win rate. Deals to win = target / average deal size. Opportunities = deals / win rate.</t>
        </is>
      </c>
    </row>
    <row r="26">
      <c r="A26" s="5" t="inlineStr"/>
      <c r="B26" s="4" t="inlineStr">
        <is>
          <t>Expected bookings per rep = annual quota / 12 x planned attainment x the sum of monthly ramp factors (1.0 = fully ramped).</t>
        </is>
      </c>
    </row>
    <row r="27">
      <c r="A27" s="5" t="inlineStr"/>
      <c r="B27" s="4" t="inlineStr">
        <is>
          <t>Assigned quota is what reps are asked to sell. Expected bookings is what the plan should count on. The gap between them is the point of the Capacity tab.</t>
        </is>
      </c>
    </row>
    <row r="28">
      <c r="A28" s="5" t="inlineStr"/>
      <c r="B28" s="4" t="inlineStr">
        <is>
          <t>Ramp is measured against full quota, never a reduced ramp quota, so a new rep does not look more productive than they are.</t>
        </is>
      </c>
    </row>
  </sheetData>
  <pageMargins left="0.75" right="0.75" top="1" bottom="1" header="0.5" footer="0.5"/>
  <pageSetup orientation="landscape" fitToWidth="1"/>
</worksheet>
</file>

<file path=xl/worksheets/sheet2.xml><?xml version="1.0" encoding="utf-8"?>
<worksheet xmlns="http://schemas.openxmlformats.org/spreadsheetml/2006/main">
  <sheetPr>
    <tabColor rgb="00C92A1F"/>
    <outlinePr summaryBelow="1" summaryRight="1"/>
    <pageSetUpPr/>
  </sheetPr>
  <dimension ref="A1:F33"/>
  <sheetViews>
    <sheetView showGridLines="0" workbookViewId="0">
      <selection activeCell="A1" sqref="A1"/>
    </sheetView>
  </sheetViews>
  <sheetFormatPr baseColWidth="8" defaultRowHeight="15"/>
  <cols>
    <col width="40" customWidth="1" min="1" max="1"/>
    <col width="16" customWidth="1" min="2" max="2"/>
    <col width="16" customWidth="1" min="3" max="3"/>
    <col width="16" customWidth="1" min="4" max="4"/>
    <col width="16" customWidth="1" min="5" max="5"/>
    <col width="16" customWidth="1" min="6" max="6"/>
  </cols>
  <sheetData>
    <row r="1">
      <c r="A1" s="1" t="inlineStr">
        <is>
          <t>Sales plan on a page</t>
        </is>
      </c>
    </row>
    <row r="2">
      <c r="A2" s="2" t="inlineStr">
        <is>
          <t>Calculated from the other tabs. Print this one.</t>
        </is>
      </c>
    </row>
    <row r="3">
      <c r="A3" s="3">
        <f>IF(Targets!B6="","",Targets!B6&amp;" sales plan")</f>
        <v/>
      </c>
    </row>
    <row r="4">
      <c r="A4" t="inlineStr">
        <is>
          <t>Company bookings target ($)</t>
        </is>
      </c>
      <c r="B4" s="6">
        <f>Targets!B5</f>
        <v/>
      </c>
    </row>
    <row r="5">
      <c r="A5" t="inlineStr">
        <is>
          <t>Expected bookings from the team ($)</t>
        </is>
      </c>
      <c r="B5" s="6">
        <f>Capacity!E44</f>
        <v/>
      </c>
    </row>
    <row r="6">
      <c r="A6" t="inlineStr">
        <is>
          <t>Capacity vs target</t>
        </is>
      </c>
      <c r="B6" s="7">
        <f>IFERROR(B5/B4,0)</f>
        <v/>
      </c>
    </row>
    <row r="7">
      <c r="A7" t="inlineStr">
        <is>
          <t>Status</t>
        </is>
      </c>
      <c r="B7" s="8">
        <f>IF(B4=0,"Enter a target",IF(B5&gt;=B4,"Capacity covers the target","Short of target: add or move hires earlier, change the plan, or call the number down"))</f>
        <v/>
      </c>
    </row>
    <row r="9">
      <c r="A9" s="9" t="inlineStr">
        <is>
          <t>Measure</t>
        </is>
      </c>
      <c r="B9" s="9" t="inlineStr">
        <is>
          <t>Segment 1</t>
        </is>
      </c>
      <c r="C9" s="9" t="inlineStr">
        <is>
          <t>Segment 2</t>
        </is>
      </c>
      <c r="D9" s="9" t="inlineStr">
        <is>
          <t>Segment 3</t>
        </is>
      </c>
      <c r="E9" s="9" t="inlineStr">
        <is>
          <t>Segment 4</t>
        </is>
      </c>
      <c r="F9" s="9" t="inlineStr">
        <is>
          <t>Total</t>
        </is>
      </c>
    </row>
    <row r="10">
      <c r="A10" s="10" t="inlineStr">
        <is>
          <t>Segment</t>
        </is>
      </c>
      <c r="B10" s="10">
        <f>Pipeline!B5</f>
        <v/>
      </c>
      <c r="C10" s="10">
        <f>Pipeline!C5</f>
        <v/>
      </c>
      <c r="D10" s="10">
        <f>Pipeline!D5</f>
        <v/>
      </c>
      <c r="E10" s="10">
        <f>Pipeline!E5</f>
        <v/>
      </c>
      <c r="F10" s="10" t="n"/>
    </row>
    <row r="11">
      <c r="A11" s="10" t="inlineStr">
        <is>
          <t>Target ($)</t>
        </is>
      </c>
      <c r="B11" s="11">
        <f>Pipeline!B6</f>
        <v/>
      </c>
      <c r="C11" s="11">
        <f>Pipeline!C6</f>
        <v/>
      </c>
      <c r="D11" s="11">
        <f>Pipeline!D6</f>
        <v/>
      </c>
      <c r="E11" s="11">
        <f>Pipeline!E6</f>
        <v/>
      </c>
      <c r="F11" s="6">
        <f>SUM(B11:E11)</f>
        <v/>
      </c>
    </row>
    <row r="12">
      <c r="A12" s="10" t="inlineStr">
        <is>
          <t>Share of target</t>
        </is>
      </c>
      <c r="B12" s="12">
        <f>Targets!B12</f>
        <v/>
      </c>
      <c r="C12" s="12">
        <f>Targets!B13</f>
        <v/>
      </c>
      <c r="D12" s="12">
        <f>Targets!B14</f>
        <v/>
      </c>
      <c r="E12" s="12">
        <f>Targets!B15</f>
        <v/>
      </c>
      <c r="F12" s="13">
        <f>SUM(B12:E12)</f>
        <v/>
      </c>
    </row>
    <row r="13">
      <c r="A13" s="10" t="inlineStr">
        <is>
          <t>Average deal size ($)</t>
        </is>
      </c>
      <c r="B13" s="11">
        <f>IF(Assumptions!B5="","",Assumptions!B5)</f>
        <v/>
      </c>
      <c r="C13" s="11">
        <f>IF(Assumptions!C5="","",Assumptions!C5)</f>
        <v/>
      </c>
      <c r="D13" s="11">
        <f>IF(Assumptions!D5="","",Assumptions!D5)</f>
        <v/>
      </c>
      <c r="E13" s="11">
        <f>IF(Assumptions!E5="","",Assumptions!E5)</f>
        <v/>
      </c>
      <c r="F13" s="10" t="n"/>
    </row>
    <row r="14">
      <c r="A14" s="10" t="inlineStr">
        <is>
          <t>Win rate</t>
        </is>
      </c>
      <c r="B14" s="12">
        <f>IF(Assumptions!B6="","",Assumptions!B6)</f>
        <v/>
      </c>
      <c r="C14" s="12">
        <f>IF(Assumptions!C6="","",Assumptions!C6)</f>
        <v/>
      </c>
      <c r="D14" s="12">
        <f>IF(Assumptions!D6="","",Assumptions!D6)</f>
        <v/>
      </c>
      <c r="E14" s="12">
        <f>IF(Assumptions!E6="","",Assumptions!E6)</f>
        <v/>
      </c>
      <c r="F14" s="10" t="n"/>
    </row>
    <row r="15">
      <c r="A15" s="10" t="inlineStr">
        <is>
          <t>Sales cycle (days)</t>
        </is>
      </c>
      <c r="B15" s="14">
        <f>IF(Assumptions!B7="","",Assumptions!B7)</f>
        <v/>
      </c>
      <c r="C15" s="14">
        <f>IF(Assumptions!C7="","",Assumptions!C7)</f>
        <v/>
      </c>
      <c r="D15" s="14">
        <f>IF(Assumptions!D7="","",Assumptions!D7)</f>
        <v/>
      </c>
      <c r="E15" s="14">
        <f>IF(Assumptions!E7="","",Assumptions!E7)</f>
        <v/>
      </c>
      <c r="F15" s="10" t="n"/>
    </row>
    <row r="16">
      <c r="A16" s="10" t="inlineStr">
        <is>
          <t>Deals to win</t>
        </is>
      </c>
      <c r="B16" s="14">
        <f>Pipeline!B7</f>
        <v/>
      </c>
      <c r="C16" s="14">
        <f>Pipeline!C7</f>
        <v/>
      </c>
      <c r="D16" s="14">
        <f>Pipeline!D7</f>
        <v/>
      </c>
      <c r="E16" s="14">
        <f>Pipeline!E7</f>
        <v/>
      </c>
      <c r="F16" s="15">
        <f>SUM(B16:E16)</f>
        <v/>
      </c>
    </row>
    <row r="17">
      <c r="A17" s="10" t="inlineStr">
        <is>
          <t>Opportunities needed</t>
        </is>
      </c>
      <c r="B17" s="14">
        <f>Pipeline!B8</f>
        <v/>
      </c>
      <c r="C17" s="14">
        <f>Pipeline!C8</f>
        <v/>
      </c>
      <c r="D17" s="14">
        <f>Pipeline!D8</f>
        <v/>
      </c>
      <c r="E17" s="14">
        <f>Pipeline!E8</f>
        <v/>
      </c>
      <c r="F17" s="15">
        <f>SUM(B17:E17)</f>
        <v/>
      </c>
    </row>
    <row r="18">
      <c r="A18" s="10" t="inlineStr">
        <is>
          <t>Pipeline needed ($)</t>
        </is>
      </c>
      <c r="B18" s="11">
        <f>Pipeline!B9</f>
        <v/>
      </c>
      <c r="C18" s="11">
        <f>Pipeline!C9</f>
        <v/>
      </c>
      <c r="D18" s="11">
        <f>Pipeline!D9</f>
        <v/>
      </c>
      <c r="E18" s="11">
        <f>Pipeline!E9</f>
        <v/>
      </c>
      <c r="F18" s="6">
        <f>SUM(B18:E18)</f>
        <v/>
      </c>
    </row>
    <row r="19">
      <c r="A19" s="10" t="inlineStr">
        <is>
          <t>Implied coverage</t>
        </is>
      </c>
      <c r="B19" s="16">
        <f>Pipeline!B10</f>
        <v/>
      </c>
      <c r="C19" s="16">
        <f>Pipeline!C10</f>
        <v/>
      </c>
      <c r="D19" s="16">
        <f>Pipeline!D10</f>
        <v/>
      </c>
      <c r="E19" s="16">
        <f>Pipeline!E10</f>
        <v/>
      </c>
      <c r="F19" s="17">
        <f>IFERROR(F18/F11,0)</f>
        <v/>
      </c>
    </row>
    <row r="20">
      <c r="A20" s="10" t="inlineStr">
        <is>
          <t>Q1 pipeline must exist by</t>
        </is>
      </c>
      <c r="B20" s="18">
        <f>Pipeline!B22</f>
        <v/>
      </c>
      <c r="C20" s="18">
        <f>Pipeline!C22</f>
        <v/>
      </c>
      <c r="D20" s="18">
        <f>Pipeline!D22</f>
        <v/>
      </c>
      <c r="E20" s="18">
        <f>Pipeline!E22</f>
        <v/>
      </c>
      <c r="F20" s="10" t="n"/>
    </row>
    <row r="21">
      <c r="A21" s="10" t="inlineStr">
        <is>
          <t>Reps and open roles</t>
        </is>
      </c>
      <c r="B21" s="14">
        <f>Capacity!B40</f>
        <v/>
      </c>
      <c r="C21" s="14">
        <f>Capacity!B41</f>
        <v/>
      </c>
      <c r="D21" s="14">
        <f>Capacity!B42</f>
        <v/>
      </c>
      <c r="E21" s="14">
        <f>Capacity!B43</f>
        <v/>
      </c>
      <c r="F21" s="15">
        <f>SUM(B21:E21)</f>
        <v/>
      </c>
    </row>
    <row r="22">
      <c r="A22" s="10" t="inlineStr">
        <is>
          <t>Assigned quota ($)</t>
        </is>
      </c>
      <c r="B22" s="11">
        <f>Capacity!D40</f>
        <v/>
      </c>
      <c r="C22" s="11">
        <f>Capacity!D41</f>
        <v/>
      </c>
      <c r="D22" s="11">
        <f>Capacity!D42</f>
        <v/>
      </c>
      <c r="E22" s="11">
        <f>Capacity!D43</f>
        <v/>
      </c>
      <c r="F22" s="6">
        <f>SUM(B22:E22)</f>
        <v/>
      </c>
    </row>
    <row r="23">
      <c r="A23" s="10" t="inlineStr">
        <is>
          <t>Expected bookings ($)</t>
        </is>
      </c>
      <c r="B23" s="11">
        <f>Capacity!E40</f>
        <v/>
      </c>
      <c r="C23" s="11">
        <f>Capacity!E41</f>
        <v/>
      </c>
      <c r="D23" s="11">
        <f>Capacity!E42</f>
        <v/>
      </c>
      <c r="E23" s="11">
        <f>Capacity!E43</f>
        <v/>
      </c>
      <c r="F23" s="6">
        <f>SUM(B23:E23)</f>
        <v/>
      </c>
    </row>
    <row r="24">
      <c r="A24" s="10" t="inlineStr">
        <is>
          <t>Capacity vs target</t>
        </is>
      </c>
      <c r="B24" s="19">
        <f>Capacity!F40</f>
        <v/>
      </c>
      <c r="C24" s="19">
        <f>Capacity!F41</f>
        <v/>
      </c>
      <c r="D24" s="19">
        <f>Capacity!F42</f>
        <v/>
      </c>
      <c r="E24" s="19">
        <f>Capacity!F43</f>
        <v/>
      </c>
      <c r="F24" s="7">
        <f>IFERROR(F23/F11,0)</f>
        <v/>
      </c>
    </row>
    <row r="25">
      <c r="A25" s="10" t="inlineStr">
        <is>
          <t>Gap to target ($)</t>
        </is>
      </c>
      <c r="B25" s="11">
        <f>Capacity!G40</f>
        <v/>
      </c>
      <c r="C25" s="11">
        <f>Capacity!G41</f>
        <v/>
      </c>
      <c r="D25" s="11">
        <f>Capacity!G42</f>
        <v/>
      </c>
      <c r="E25" s="11">
        <f>Capacity!G43</f>
        <v/>
      </c>
      <c r="F25" s="6">
        <f>SUM(B25:E25)</f>
        <v/>
      </c>
    </row>
    <row r="26">
      <c r="A26" s="10" t="inlineStr">
        <is>
          <t>Territories below the market multiple</t>
        </is>
      </c>
      <c r="B26" s="14">
        <f>Territories!E38</f>
        <v/>
      </c>
      <c r="C26" s="14">
        <f>Territories!E39</f>
        <v/>
      </c>
      <c r="D26" s="14">
        <f>Territories!E40</f>
        <v/>
      </c>
      <c r="E26" s="14">
        <f>Territories!E41</f>
        <v/>
      </c>
      <c r="F26" s="15">
        <f>SUM(B26:E26)</f>
        <v/>
      </c>
    </row>
    <row r="28">
      <c r="A28" s="3" t="inlineStr">
        <is>
          <t>Top risks to this plan</t>
        </is>
      </c>
    </row>
    <row r="29">
      <c r="A29" s="20" t="n"/>
      <c r="B29" s="21" t="n"/>
      <c r="C29" s="21" t="n"/>
      <c r="D29" s="21" t="n"/>
      <c r="E29" s="21" t="n"/>
      <c r="F29" s="22" t="n"/>
    </row>
    <row r="30">
      <c r="A30" s="20" t="n"/>
      <c r="B30" s="21" t="n"/>
      <c r="C30" s="21" t="n"/>
      <c r="D30" s="21" t="n"/>
      <c r="E30" s="21" t="n"/>
      <c r="F30" s="22" t="n"/>
    </row>
    <row r="31">
      <c r="A31" s="20" t="n"/>
      <c r="B31" s="21" t="n"/>
      <c r="C31" s="21" t="n"/>
      <c r="D31" s="21" t="n"/>
      <c r="E31" s="21" t="n"/>
      <c r="F31" s="22" t="n"/>
    </row>
    <row r="33">
      <c r="A33" t="inlineStr">
        <is>
          <t>Assumptions changed from last year (see the log on Assumptions)</t>
        </is>
      </c>
      <c r="F33" s="14">
        <f>COUNTIF(Assumptions!A25:A34,"?*")</f>
        <v/>
      </c>
    </row>
  </sheetData>
  <mergeCells count="3">
    <mergeCell ref="A31:F31"/>
    <mergeCell ref="A30:F30"/>
    <mergeCell ref="A29:F29"/>
  </mergeCells>
  <pageMargins left="0.75" right="0.75" top="1" bottom="1" header="0.5" footer="0.5"/>
  <pageSetup orientation="landscape" fitToWidth="1"/>
</worksheet>
</file>

<file path=xl/worksheets/sheet3.xml><?xml version="1.0" encoding="utf-8"?>
<worksheet xmlns="http://schemas.openxmlformats.org/spreadsheetml/2006/main">
  <sheetPr>
    <outlinePr summaryBelow="1" summaryRight="1"/>
    <pageSetUpPr/>
  </sheetPr>
  <dimension ref="A1:F34"/>
  <sheetViews>
    <sheetView showGridLines="0" workbookViewId="0">
      <pane xSplit="1" ySplit="3" topLeftCell="B4" activePane="bottomRight" state="frozen"/>
      <selection pane="topRight"/>
      <selection pane="bottomLeft"/>
      <selection pane="bottomRight" activeCell="A1" sqref="A1"/>
    </sheetView>
  </sheetViews>
  <sheetFormatPr baseColWidth="8" defaultRowHeight="15"/>
  <cols>
    <col width="42" customWidth="1" min="1" max="1"/>
    <col width="16" customWidth="1" min="2" max="2"/>
    <col width="16" customWidth="1" min="3" max="3"/>
    <col width="16" customWidth="1" min="4" max="4"/>
    <col width="16" customWidth="1" min="5" max="5"/>
    <col width="60" customWidth="1" min="6" max="6"/>
  </cols>
  <sheetData>
    <row r="1">
      <c r="A1" s="1" t="inlineStr">
        <is>
          <t>Assumptions by segment</t>
        </is>
      </c>
    </row>
    <row r="2">
      <c r="A2" s="2" t="inlineStr">
        <is>
          <t>One column per segment. Use your own last four quarters, not industry averages.</t>
        </is>
      </c>
    </row>
    <row r="3">
      <c r="A3" s="9" t="inlineStr">
        <is>
          <t>Assumption</t>
        </is>
      </c>
      <c r="B3" s="9" t="inlineStr">
        <is>
          <t>Segment 1</t>
        </is>
      </c>
      <c r="C3" s="9" t="inlineStr">
        <is>
          <t>Segment 2</t>
        </is>
      </c>
      <c r="D3" s="9" t="inlineStr">
        <is>
          <t>Segment 3</t>
        </is>
      </c>
      <c r="E3" s="9" t="inlineStr">
        <is>
          <t>Segment 4</t>
        </is>
      </c>
      <c r="F3" s="9" t="inlineStr">
        <is>
          <t>Note</t>
        </is>
      </c>
    </row>
    <row r="4">
      <c r="A4" s="10" t="inlineStr">
        <is>
          <t>Segment name</t>
        </is>
      </c>
      <c r="B4" s="20" t="n"/>
      <c r="C4" s="20" t="n"/>
      <c r="D4" s="20" t="n"/>
      <c r="E4" s="20" t="n"/>
      <c r="F4" s="2" t="inlineStr">
        <is>
          <t>Must match the names used on Targets and Capacity.</t>
        </is>
      </c>
    </row>
    <row r="5">
      <c r="A5" s="10" t="inlineStr">
        <is>
          <t>Average deal size ($)</t>
        </is>
      </c>
      <c r="B5" s="23" t="n"/>
      <c r="C5" s="23" t="n"/>
      <c r="D5" s="23" t="n"/>
      <c r="E5" s="23" t="n"/>
      <c r="F5" s="2" t="inlineStr">
        <is>
          <t>Closed-won average, not the open pipeline average (pipeline often runs higher).</t>
        </is>
      </c>
    </row>
    <row r="6">
      <c r="A6" s="10" t="inlineStr">
        <is>
          <t>Win rate (opportunity to closed won)</t>
        </is>
      </c>
      <c r="B6" s="24" t="n"/>
      <c r="C6" s="24" t="n"/>
      <c r="D6" s="24" t="n"/>
      <c r="E6" s="24" t="n"/>
      <c r="F6" s="2" t="inlineStr">
        <is>
          <t>Count wins / (wins + losses) for opportunities created in the period.</t>
        </is>
      </c>
    </row>
    <row r="7">
      <c r="A7" s="10" t="inlineStr">
        <is>
          <t>Sales cycle (days, created to closed won)</t>
        </is>
      </c>
      <c r="B7" s="25" t="n"/>
      <c r="C7" s="25" t="n"/>
      <c r="D7" s="25" t="n"/>
      <c r="E7" s="25" t="n"/>
      <c r="F7" s="2" t="inlineStr">
        <is>
          <t>Drives how early each quarter's pipeline must exist.</t>
        </is>
      </c>
    </row>
    <row r="8">
      <c r="A8" s="10" t="inlineStr">
        <is>
          <t>Annual quota per fully ramped rep ($)</t>
        </is>
      </c>
      <c r="B8" s="23" t="n"/>
      <c r="C8" s="23" t="n"/>
      <c r="D8" s="23" t="n"/>
      <c r="E8" s="23" t="n"/>
      <c r="F8" s="2" t="inlineStr">
        <is>
          <t>Full quota. Do not enter a reduced ramp quota.</t>
        </is>
      </c>
    </row>
    <row r="9">
      <c r="A9" s="10" t="inlineStr">
        <is>
          <t>Planned attainment, fully ramped rep (%)</t>
        </is>
      </c>
      <c r="B9" s="24" t="n"/>
      <c r="C9" s="24" t="n"/>
      <c r="D9" s="24" t="n"/>
      <c r="E9" s="24" t="n"/>
      <c r="F9" s="2" t="inlineStr">
        <is>
          <t>What an average ramped rep should book against quota.</t>
        </is>
      </c>
    </row>
    <row r="10">
      <c r="A10" s="10" t="inlineStr">
        <is>
          <t>Addressable market needed (x quota)</t>
        </is>
      </c>
      <c r="B10" s="26" t="n"/>
      <c r="C10" s="26" t="n"/>
      <c r="D10" s="26" t="n"/>
      <c r="E10" s="26" t="n"/>
      <c r="F10" s="2" t="inlineStr">
        <is>
          <t>Market per territory as a multiple of its quota.</t>
        </is>
      </c>
    </row>
    <row r="12">
      <c r="A12" s="3" t="inlineStr">
        <is>
          <t>Ramp curve: share of a fully ramped rep's output, by tenure level</t>
        </is>
      </c>
    </row>
    <row r="13">
      <c r="A13" s="9" t="inlineStr">
        <is>
          <t>Tenure level</t>
        </is>
      </c>
      <c r="B13" s="9" t="inlineStr">
        <is>
          <t>Segment 1</t>
        </is>
      </c>
      <c r="C13" s="9" t="inlineStr">
        <is>
          <t>Segment 2</t>
        </is>
      </c>
      <c r="D13" s="9" t="inlineStr">
        <is>
          <t>Segment 3</t>
        </is>
      </c>
      <c r="E13" s="9" t="inlineStr">
        <is>
          <t>Segment 4</t>
        </is>
      </c>
      <c r="F13" s="9" t="inlineStr">
        <is>
          <t>Months of tenure</t>
        </is>
      </c>
    </row>
    <row r="14">
      <c r="A14" s="10" t="inlineStr">
        <is>
          <t>Level 1</t>
        </is>
      </c>
      <c r="B14" s="24" t="n"/>
      <c r="C14" s="24" t="n"/>
      <c r="D14" s="24" t="n"/>
      <c r="E14" s="24" t="n"/>
      <c r="F14" s="2" t="inlineStr">
        <is>
          <t>1 to 3</t>
        </is>
      </c>
    </row>
    <row r="15">
      <c r="A15" s="10" t="inlineStr">
        <is>
          <t>Level 2</t>
        </is>
      </c>
      <c r="B15" s="24" t="n"/>
      <c r="C15" s="24" t="n"/>
      <c r="D15" s="24" t="n"/>
      <c r="E15" s="24" t="n"/>
      <c r="F15" s="2" t="inlineStr">
        <is>
          <t>4 to 6</t>
        </is>
      </c>
    </row>
    <row r="16">
      <c r="A16" s="10" t="inlineStr">
        <is>
          <t>Level 3</t>
        </is>
      </c>
      <c r="B16" s="24" t="n"/>
      <c r="C16" s="24" t="n"/>
      <c r="D16" s="24" t="n"/>
      <c r="E16" s="24" t="n"/>
      <c r="F16" s="2" t="inlineStr">
        <is>
          <t>7 to 9</t>
        </is>
      </c>
    </row>
    <row r="17">
      <c r="A17" s="10" t="inlineStr">
        <is>
          <t>Level 4</t>
        </is>
      </c>
      <c r="B17" s="24" t="n"/>
      <c r="C17" s="24" t="n"/>
      <c r="D17" s="24" t="n"/>
      <c r="E17" s="24" t="n"/>
      <c r="F17" s="2" t="inlineStr">
        <is>
          <t>10 to 12</t>
        </is>
      </c>
    </row>
    <row r="18">
      <c r="A18" s="10" t="inlineStr">
        <is>
          <t>Level 5</t>
        </is>
      </c>
      <c r="B18" s="24" t="n"/>
      <c r="C18" s="24" t="n"/>
      <c r="D18" s="24" t="n"/>
      <c r="E18" s="24" t="n"/>
      <c r="F18" s="2" t="inlineStr">
        <is>
          <t>13 to 15</t>
        </is>
      </c>
    </row>
    <row r="19">
      <c r="A19" s="10" t="inlineStr">
        <is>
          <t>Level 6</t>
        </is>
      </c>
      <c r="B19" s="24" t="n"/>
      <c r="C19" s="24" t="n"/>
      <c r="D19" s="24" t="n"/>
      <c r="E19" s="24" t="n"/>
      <c r="F19" s="2" t="inlineStr">
        <is>
          <t>16 to 18 and after (fully ramped)</t>
        </is>
      </c>
    </row>
    <row r="21">
      <c r="A21" s="2" t="inlineStr">
        <is>
          <t>The example curve is illustrative. Measure yours: bookings per rep-month divided by full monthly quota, grouped by role, region and tenure level.</t>
        </is>
      </c>
    </row>
    <row r="23">
      <c r="A23" s="3" t="inlineStr">
        <is>
          <t>Assumption log: what changed from last year, and why</t>
        </is>
      </c>
    </row>
    <row r="24">
      <c r="A24" s="9" t="inlineStr">
        <is>
          <t>Assumption</t>
        </is>
      </c>
      <c r="B24" s="9" t="inlineStr">
        <is>
          <t>Segment</t>
        </is>
      </c>
      <c r="C24" s="9" t="inlineStr">
        <is>
          <t>Last year</t>
        </is>
      </c>
      <c r="D24" s="9" t="inlineStr">
        <is>
          <t>This year</t>
        </is>
      </c>
      <c r="E24" s="9" t="inlineStr">
        <is>
          <t>Why it changed</t>
        </is>
      </c>
      <c r="F24" s="9" t="inlineStr">
        <is>
          <t>Owner</t>
        </is>
      </c>
    </row>
    <row r="25">
      <c r="A25" s="27" t="n"/>
      <c r="B25" s="27" t="n"/>
      <c r="C25" s="27" t="n"/>
      <c r="D25" s="27" t="n"/>
      <c r="E25" s="27" t="n"/>
      <c r="F25" s="27" t="n"/>
    </row>
    <row r="26">
      <c r="A26" s="27" t="n"/>
      <c r="B26" s="27" t="n"/>
      <c r="C26" s="27" t="n"/>
      <c r="D26" s="27" t="n"/>
      <c r="E26" s="27" t="n"/>
      <c r="F26" s="27" t="n"/>
    </row>
    <row r="27">
      <c r="A27" s="27" t="n"/>
      <c r="B27" s="27" t="n"/>
      <c r="C27" s="27" t="n"/>
      <c r="D27" s="27" t="n"/>
      <c r="E27" s="27" t="n"/>
      <c r="F27" s="27" t="n"/>
    </row>
    <row r="28">
      <c r="A28" s="27" t="n"/>
      <c r="B28" s="27" t="n"/>
      <c r="C28" s="27" t="n"/>
      <c r="D28" s="27" t="n"/>
      <c r="E28" s="27" t="n"/>
      <c r="F28" s="27" t="n"/>
    </row>
    <row r="29">
      <c r="A29" s="27" t="n"/>
      <c r="B29" s="27" t="n"/>
      <c r="C29" s="27" t="n"/>
      <c r="D29" s="27" t="n"/>
      <c r="E29" s="27" t="n"/>
      <c r="F29" s="27" t="n"/>
    </row>
    <row r="30">
      <c r="A30" s="27" t="n"/>
      <c r="B30" s="27" t="n"/>
      <c r="C30" s="27" t="n"/>
      <c r="D30" s="27" t="n"/>
      <c r="E30" s="27" t="n"/>
      <c r="F30" s="27" t="n"/>
    </row>
    <row r="31">
      <c r="A31" s="27" t="n"/>
      <c r="B31" s="27" t="n"/>
      <c r="C31" s="27" t="n"/>
      <c r="D31" s="27" t="n"/>
      <c r="E31" s="27" t="n"/>
      <c r="F31" s="27" t="n"/>
    </row>
    <row r="32">
      <c r="A32" s="27" t="n"/>
      <c r="B32" s="27" t="n"/>
      <c r="C32" s="27" t="n"/>
      <c r="D32" s="27" t="n"/>
      <c r="E32" s="27" t="n"/>
      <c r="F32" s="27" t="n"/>
    </row>
    <row r="33">
      <c r="A33" s="27" t="n"/>
      <c r="B33" s="27" t="n"/>
      <c r="C33" s="27" t="n"/>
      <c r="D33" s="27" t="n"/>
      <c r="E33" s="27" t="n"/>
      <c r="F33" s="27" t="n"/>
    </row>
    <row r="34">
      <c r="A34" s="27" t="n"/>
      <c r="B34" s="27" t="n"/>
      <c r="C34" s="27" t="n"/>
      <c r="D34" s="27" t="n"/>
      <c r="E34" s="27" t="n"/>
      <c r="F34" s="27" t="n"/>
    </row>
  </sheetData>
  <pageMargins left="0.75" right="0.75" top="1" bottom="1" header="0.5" footer="0.5"/>
  <pageSetup orientation="landscape" fitToWidth="1"/>
</worksheet>
</file>

<file path=xl/worksheets/sheet4.xml><?xml version="1.0" encoding="utf-8"?>
<worksheet xmlns="http://schemas.openxmlformats.org/spreadsheetml/2006/main">
  <sheetPr>
    <outlinePr summaryBelow="1" summaryRight="1"/>
    <pageSetUpPr/>
  </sheetPr>
  <dimension ref="A1:H36"/>
  <sheetViews>
    <sheetView showGridLines="0" workbookViewId="0">
      <selection activeCell="A1" sqref="A1"/>
    </sheetView>
  </sheetViews>
  <sheetFormatPr baseColWidth="8" defaultRowHeight="15"/>
  <cols>
    <col width="40" customWidth="1" min="1" max="1"/>
    <col width="16" customWidth="1" min="2" max="2"/>
    <col width="18" customWidth="1" min="3" max="3"/>
    <col width="16" customWidth="1" min="4" max="4"/>
    <col width="16" customWidth="1" min="5" max="5"/>
    <col width="16" customWidth="1" min="6" max="6"/>
    <col width="16" customWidth="1" min="7" max="7"/>
    <col width="34" customWidth="1" min="8" max="8"/>
  </cols>
  <sheetData>
    <row r="1">
      <c r="A1" s="1" t="inlineStr">
        <is>
          <t>Targets</t>
        </is>
      </c>
    </row>
    <row r="2">
      <c r="A2" s="2" t="inlineStr">
        <is>
          <t>The number, split by segment, quarter and month. Weights should follow your own seasonality.</t>
        </is>
      </c>
    </row>
    <row r="4">
      <c r="A4" t="inlineStr">
        <is>
          <t>Plan year start date</t>
        </is>
      </c>
      <c r="B4" s="28" t="n"/>
    </row>
    <row r="5">
      <c r="A5" t="inlineStr">
        <is>
          <t>Company bookings target for the year ($)</t>
        </is>
      </c>
      <c r="B5" s="23" t="n"/>
    </row>
    <row r="6">
      <c r="A6" t="inlineStr">
        <is>
          <t>Plan year label</t>
        </is>
      </c>
      <c r="B6" s="20" t="n"/>
    </row>
    <row r="8">
      <c r="A8" s="9" t="inlineStr"/>
      <c r="B8" s="9" t="inlineStr"/>
      <c r="C8" s="9" t="inlineStr"/>
      <c r="D8" s="9" t="inlineStr">
        <is>
          <t>Q1</t>
        </is>
      </c>
      <c r="E8" s="9" t="inlineStr">
        <is>
          <t>Q2</t>
        </is>
      </c>
      <c r="F8" s="9" t="inlineStr">
        <is>
          <t>Q3</t>
        </is>
      </c>
      <c r="G8" s="9" t="inlineStr">
        <is>
          <t>Q4</t>
        </is>
      </c>
      <c r="H8" s="9" t="inlineStr">
        <is>
          <t>Check</t>
        </is>
      </c>
    </row>
    <row r="9">
      <c r="A9" s="10" t="inlineStr">
        <is>
          <t>Quarter weight (share of the year)</t>
        </is>
      </c>
      <c r="D9" s="24" t="n"/>
      <c r="E9" s="24" t="n"/>
      <c r="F9" s="24" t="n"/>
      <c r="G9" s="24" t="n"/>
      <c r="H9" s="10">
        <f>IF(ROUND(SUM(D9:G9),4)=1,"OK","Weights must add to 100%")</f>
        <v/>
      </c>
    </row>
    <row r="11">
      <c r="A11" s="9" t="inlineStr">
        <is>
          <t>Segment</t>
        </is>
      </c>
      <c r="B11" s="9" t="inlineStr">
        <is>
          <t>Share of target</t>
        </is>
      </c>
      <c r="C11" s="9" t="inlineStr">
        <is>
          <t>Segment target ($)</t>
        </is>
      </c>
      <c r="D11" s="9" t="inlineStr">
        <is>
          <t>Q1 ($)</t>
        </is>
      </c>
      <c r="E11" s="9" t="inlineStr">
        <is>
          <t>Q2 ($)</t>
        </is>
      </c>
      <c r="F11" s="9" t="inlineStr">
        <is>
          <t>Q3 ($)</t>
        </is>
      </c>
      <c r="G11" s="9" t="inlineStr">
        <is>
          <t>Q4 ($)</t>
        </is>
      </c>
      <c r="H11" s="9" t="inlineStr">
        <is>
          <t>Check</t>
        </is>
      </c>
    </row>
    <row r="12">
      <c r="A12" s="10">
        <f>IF(Assumptions!B4="","",Assumptions!B4)</f>
        <v/>
      </c>
      <c r="B12" s="24" t="n"/>
      <c r="C12" s="11">
        <f>$B$5*B12</f>
        <v/>
      </c>
      <c r="D12" s="11">
        <f>$C12*D$9</f>
        <v/>
      </c>
      <c r="E12" s="11">
        <f>$C12*E$9</f>
        <v/>
      </c>
      <c r="F12" s="11">
        <f>$C12*F$9</f>
        <v/>
      </c>
      <c r="G12" s="11">
        <f>$C12*G$9</f>
        <v/>
      </c>
      <c r="H12" s="10">
        <f>IF(AND(A12="",B12&gt;0),"Name this segment on Assumptions","")</f>
        <v/>
      </c>
    </row>
    <row r="13">
      <c r="A13" s="10">
        <f>IF(Assumptions!C4="","",Assumptions!C4)</f>
        <v/>
      </c>
      <c r="B13" s="24" t="n"/>
      <c r="C13" s="11">
        <f>$B$5*B13</f>
        <v/>
      </c>
      <c r="D13" s="11">
        <f>$C13*D$9</f>
        <v/>
      </c>
      <c r="E13" s="11">
        <f>$C13*E$9</f>
        <v/>
      </c>
      <c r="F13" s="11">
        <f>$C13*F$9</f>
        <v/>
      </c>
      <c r="G13" s="11">
        <f>$C13*G$9</f>
        <v/>
      </c>
      <c r="H13" s="10">
        <f>IF(AND(A13="",B13&gt;0),"Name this segment on Assumptions","")</f>
        <v/>
      </c>
    </row>
    <row r="14">
      <c r="A14" s="10">
        <f>IF(Assumptions!D4="","",Assumptions!D4)</f>
        <v/>
      </c>
      <c r="B14" s="24" t="n"/>
      <c r="C14" s="11">
        <f>$B$5*B14</f>
        <v/>
      </c>
      <c r="D14" s="11">
        <f>$C14*D$9</f>
        <v/>
      </c>
      <c r="E14" s="11">
        <f>$C14*E$9</f>
        <v/>
      </c>
      <c r="F14" s="11">
        <f>$C14*F$9</f>
        <v/>
      </c>
      <c r="G14" s="11">
        <f>$C14*G$9</f>
        <v/>
      </c>
      <c r="H14" s="10">
        <f>IF(AND(A14="",B14&gt;0),"Name this segment on Assumptions","")</f>
        <v/>
      </c>
    </row>
    <row r="15">
      <c r="A15" s="10">
        <f>IF(Assumptions!E4="","",Assumptions!E4)</f>
        <v/>
      </c>
      <c r="B15" s="24" t="n"/>
      <c r="C15" s="11">
        <f>$B$5*B15</f>
        <v/>
      </c>
      <c r="D15" s="11">
        <f>$C15*D$9</f>
        <v/>
      </c>
      <c r="E15" s="11">
        <f>$C15*E$9</f>
        <v/>
      </c>
      <c r="F15" s="11">
        <f>$C15*F$9</f>
        <v/>
      </c>
      <c r="G15" s="11">
        <f>$C15*G$9</f>
        <v/>
      </c>
      <c r="H15" s="10">
        <f>IF(AND(A15="",B15&gt;0),"Name this segment on Assumptions","")</f>
        <v/>
      </c>
    </row>
    <row r="16">
      <c r="A16" s="3" t="inlineStr">
        <is>
          <t>Total</t>
        </is>
      </c>
      <c r="B16" s="13">
        <f>SUM(B12:B15)</f>
        <v/>
      </c>
      <c r="C16" s="6">
        <f>SUM(C12:C15)</f>
        <v/>
      </c>
      <c r="D16" s="6">
        <f>SUM(D12:D15)</f>
        <v/>
      </c>
      <c r="E16" s="6">
        <f>SUM(E12:E15)</f>
        <v/>
      </c>
      <c r="F16" s="6">
        <f>SUM(F12:F15)</f>
        <v/>
      </c>
      <c r="G16" s="6">
        <f>SUM(G12:G15)</f>
        <v/>
      </c>
      <c r="H16" s="10">
        <f>IF(ROUND(B16,4)=1,"OK","Segment shares must add to 100%")</f>
        <v/>
      </c>
    </row>
    <row r="18">
      <c r="A18" s="3" t="inlineStr">
        <is>
          <t>Month weights inside each quarter</t>
        </is>
      </c>
    </row>
    <row r="19">
      <c r="A19" s="9" t="inlineStr"/>
      <c r="B19" s="9" t="inlineStr">
        <is>
          <t>Month 1</t>
        </is>
      </c>
      <c r="C19" s="9" t="inlineStr">
        <is>
          <t>Month 2</t>
        </is>
      </c>
      <c r="D19" s="9" t="inlineStr">
        <is>
          <t>Month 3</t>
        </is>
      </c>
      <c r="E19" s="9" t="inlineStr">
        <is>
          <t>Check</t>
        </is>
      </c>
    </row>
    <row r="20">
      <c r="A20" t="inlineStr">
        <is>
          <t>Share of the quarter</t>
        </is>
      </c>
      <c r="B20" s="24" t="n"/>
      <c r="C20" s="24" t="n"/>
      <c r="D20" s="24" t="n"/>
      <c r="E20" s="10">
        <f>IF(ROUND(SUM(B20:D20),4)=1,"OK","Weights must add to 100%")</f>
        <v/>
      </c>
    </row>
    <row r="22">
      <c r="A22" s="9" t="inlineStr">
        <is>
          <t>Month</t>
        </is>
      </c>
      <c r="B22" s="9" t="inlineStr">
        <is>
          <t>Month start</t>
        </is>
      </c>
      <c r="C22" s="9" t="inlineStr">
        <is>
          <t>Quarter</t>
        </is>
      </c>
      <c r="D22" s="9" t="inlineStr">
        <is>
          <t>Company target ($)</t>
        </is>
      </c>
      <c r="E22" s="9" t="inlineStr">
        <is>
          <t>Cumulative ($)</t>
        </is>
      </c>
    </row>
    <row r="23">
      <c r="A23" s="10" t="n">
        <v>1</v>
      </c>
      <c r="B23" s="18">
        <f>IF($B$4="","",DATE(YEAR($B$4),MONTH($B$4)+0,DAY($B$4)))</f>
        <v/>
      </c>
      <c r="C23" s="10" t="inlineStr">
        <is>
          <t>Q1</t>
        </is>
      </c>
      <c r="D23" s="11">
        <f>D$16*B$20</f>
        <v/>
      </c>
      <c r="E23" s="11">
        <f>SUM($D$23:D23)</f>
        <v/>
      </c>
    </row>
    <row r="24">
      <c r="A24" s="10" t="n">
        <v>2</v>
      </c>
      <c r="B24" s="18">
        <f>IF($B$4="","",DATE(YEAR($B$4),MONTH($B$4)+1,DAY($B$4)))</f>
        <v/>
      </c>
      <c r="C24" s="10" t="inlineStr">
        <is>
          <t>Q1</t>
        </is>
      </c>
      <c r="D24" s="11">
        <f>D$16*C$20</f>
        <v/>
      </c>
      <c r="E24" s="11">
        <f>SUM($D$23:D24)</f>
        <v/>
      </c>
    </row>
    <row r="25">
      <c r="A25" s="10" t="n">
        <v>3</v>
      </c>
      <c r="B25" s="18">
        <f>IF($B$4="","",DATE(YEAR($B$4),MONTH($B$4)+2,DAY($B$4)))</f>
        <v/>
      </c>
      <c r="C25" s="10" t="inlineStr">
        <is>
          <t>Q1</t>
        </is>
      </c>
      <c r="D25" s="11">
        <f>D$16*D$20</f>
        <v/>
      </c>
      <c r="E25" s="11">
        <f>SUM($D$23:D25)</f>
        <v/>
      </c>
    </row>
    <row r="26">
      <c r="A26" s="10" t="n">
        <v>4</v>
      </c>
      <c r="B26" s="18">
        <f>IF($B$4="","",DATE(YEAR($B$4),MONTH($B$4)+3,DAY($B$4)))</f>
        <v/>
      </c>
      <c r="C26" s="10" t="inlineStr">
        <is>
          <t>Q2</t>
        </is>
      </c>
      <c r="D26" s="11">
        <f>E$16*B$20</f>
        <v/>
      </c>
      <c r="E26" s="11">
        <f>SUM($D$23:D26)</f>
        <v/>
      </c>
    </row>
    <row r="27">
      <c r="A27" s="10" t="n">
        <v>5</v>
      </c>
      <c r="B27" s="18">
        <f>IF($B$4="","",DATE(YEAR($B$4),MONTH($B$4)+4,DAY($B$4)))</f>
        <v/>
      </c>
      <c r="C27" s="10" t="inlineStr">
        <is>
          <t>Q2</t>
        </is>
      </c>
      <c r="D27" s="11">
        <f>E$16*C$20</f>
        <v/>
      </c>
      <c r="E27" s="11">
        <f>SUM($D$23:D27)</f>
        <v/>
      </c>
    </row>
    <row r="28">
      <c r="A28" s="10" t="n">
        <v>6</v>
      </c>
      <c r="B28" s="18">
        <f>IF($B$4="","",DATE(YEAR($B$4),MONTH($B$4)+5,DAY($B$4)))</f>
        <v/>
      </c>
      <c r="C28" s="10" t="inlineStr">
        <is>
          <t>Q2</t>
        </is>
      </c>
      <c r="D28" s="11">
        <f>E$16*D$20</f>
        <v/>
      </c>
      <c r="E28" s="11">
        <f>SUM($D$23:D28)</f>
        <v/>
      </c>
    </row>
    <row r="29">
      <c r="A29" s="10" t="n">
        <v>7</v>
      </c>
      <c r="B29" s="18">
        <f>IF($B$4="","",DATE(YEAR($B$4),MONTH($B$4)+6,DAY($B$4)))</f>
        <v/>
      </c>
      <c r="C29" s="10" t="inlineStr">
        <is>
          <t>Q3</t>
        </is>
      </c>
      <c r="D29" s="11">
        <f>F$16*B$20</f>
        <v/>
      </c>
      <c r="E29" s="11">
        <f>SUM($D$23:D29)</f>
        <v/>
      </c>
    </row>
    <row r="30">
      <c r="A30" s="10" t="n">
        <v>8</v>
      </c>
      <c r="B30" s="18">
        <f>IF($B$4="","",DATE(YEAR($B$4),MONTH($B$4)+7,DAY($B$4)))</f>
        <v/>
      </c>
      <c r="C30" s="10" t="inlineStr">
        <is>
          <t>Q3</t>
        </is>
      </c>
      <c r="D30" s="11">
        <f>F$16*C$20</f>
        <v/>
      </c>
      <c r="E30" s="11">
        <f>SUM($D$23:D30)</f>
        <v/>
      </c>
    </row>
    <row r="31">
      <c r="A31" s="10" t="n">
        <v>9</v>
      </c>
      <c r="B31" s="18">
        <f>IF($B$4="","",DATE(YEAR($B$4),MONTH($B$4)+8,DAY($B$4)))</f>
        <v/>
      </c>
      <c r="C31" s="10" t="inlineStr">
        <is>
          <t>Q3</t>
        </is>
      </c>
      <c r="D31" s="11">
        <f>F$16*D$20</f>
        <v/>
      </c>
      <c r="E31" s="11">
        <f>SUM($D$23:D31)</f>
        <v/>
      </c>
    </row>
    <row r="32">
      <c r="A32" s="10" t="n">
        <v>10</v>
      </c>
      <c r="B32" s="18">
        <f>IF($B$4="","",DATE(YEAR($B$4),MONTH($B$4)+9,DAY($B$4)))</f>
        <v/>
      </c>
      <c r="C32" s="10" t="inlineStr">
        <is>
          <t>Q4</t>
        </is>
      </c>
      <c r="D32" s="11">
        <f>G$16*B$20</f>
        <v/>
      </c>
      <c r="E32" s="11">
        <f>SUM($D$23:D32)</f>
        <v/>
      </c>
    </row>
    <row r="33">
      <c r="A33" s="10" t="n">
        <v>11</v>
      </c>
      <c r="B33" s="18">
        <f>IF($B$4="","",DATE(YEAR($B$4),MONTH($B$4)+10,DAY($B$4)))</f>
        <v/>
      </c>
      <c r="C33" s="10" t="inlineStr">
        <is>
          <t>Q4</t>
        </is>
      </c>
      <c r="D33" s="11">
        <f>G$16*C$20</f>
        <v/>
      </c>
      <c r="E33" s="11">
        <f>SUM($D$23:D33)</f>
        <v/>
      </c>
    </row>
    <row r="34">
      <c r="A34" s="10" t="n">
        <v>12</v>
      </c>
      <c r="B34" s="18">
        <f>IF($B$4="","",DATE(YEAR($B$4),MONTH($B$4)+11,DAY($B$4)))</f>
        <v/>
      </c>
      <c r="C34" s="10" t="inlineStr">
        <is>
          <t>Q4</t>
        </is>
      </c>
      <c r="D34" s="11">
        <f>G$16*D$20</f>
        <v/>
      </c>
      <c r="E34" s="11">
        <f>SUM($D$23:D34)</f>
        <v/>
      </c>
    </row>
    <row r="36">
      <c r="A36" s="2" t="inlineStr">
        <is>
          <t>Example weights are illustrative. Many B2B SaaS teams close more in Q2 and Q4 than Q1 and Q3, and more in the third month of a quarter than the first.</t>
        </is>
      </c>
    </row>
  </sheetData>
  <pageMargins left="0.75" right="0.75" top="1" bottom="1" header="0.5" footer="0.5"/>
  <pageSetup orientation="landscape" fitToWidth="1"/>
</worksheet>
</file>

<file path=xl/worksheets/sheet5.xml><?xml version="1.0" encoding="utf-8"?>
<worksheet xmlns="http://schemas.openxmlformats.org/spreadsheetml/2006/main">
  <sheetPr>
    <outlinePr summaryBelow="1" summaryRight="1"/>
    <pageSetUpPr/>
  </sheetPr>
  <dimension ref="A1:F27"/>
  <sheetViews>
    <sheetView showGridLines="0" workbookViewId="0">
      <selection activeCell="A1" sqref="A1"/>
    </sheetView>
  </sheetViews>
  <sheetFormatPr baseColWidth="8" defaultRowHeight="15"/>
  <cols>
    <col width="44" customWidth="1" min="1" max="1"/>
    <col width="16" customWidth="1" min="2" max="2"/>
    <col width="16" customWidth="1" min="3" max="3"/>
    <col width="16" customWidth="1" min="4" max="4"/>
    <col width="16" customWidth="1" min="5" max="5"/>
    <col width="16" customWidth="1" min="6" max="6"/>
  </cols>
  <sheetData>
    <row r="1">
      <c r="A1" s="1" t="inlineStr">
        <is>
          <t>Pipeline math</t>
        </is>
      </c>
    </row>
    <row r="2">
      <c r="A2" s="2" t="inlineStr">
        <is>
          <t>No inputs on this tab. Everything comes from Targets and Assumptions.</t>
        </is>
      </c>
    </row>
    <row r="4">
      <c r="A4" s="9" t="inlineStr">
        <is>
          <t>Measure</t>
        </is>
      </c>
      <c r="B4" s="9" t="inlineStr">
        <is>
          <t>Segment 1</t>
        </is>
      </c>
      <c r="C4" s="9" t="inlineStr">
        <is>
          <t>Segment 2</t>
        </is>
      </c>
      <c r="D4" s="9" t="inlineStr">
        <is>
          <t>Segment 3</t>
        </is>
      </c>
      <c r="E4" s="9" t="inlineStr">
        <is>
          <t>Segment 4</t>
        </is>
      </c>
      <c r="F4" s="9" t="inlineStr">
        <is>
          <t>Total</t>
        </is>
      </c>
    </row>
    <row r="5">
      <c r="A5" s="10" t="inlineStr">
        <is>
          <t>Segment</t>
        </is>
      </c>
      <c r="B5" s="10">
        <f>IF(Assumptions!B4="","",Assumptions!B4)</f>
        <v/>
      </c>
      <c r="C5" s="10">
        <f>IF(Assumptions!C4="","",Assumptions!C4)</f>
        <v/>
      </c>
      <c r="D5" s="10">
        <f>IF(Assumptions!D4="","",Assumptions!D4)</f>
        <v/>
      </c>
      <c r="E5" s="10">
        <f>IF(Assumptions!E4="","",Assumptions!E4)</f>
        <v/>
      </c>
    </row>
    <row r="6">
      <c r="A6" s="10" t="inlineStr">
        <is>
          <t>Segment target ($)</t>
        </is>
      </c>
      <c r="B6" s="11">
        <f>Targets!C12</f>
        <v/>
      </c>
      <c r="C6" s="11">
        <f>Targets!C13</f>
        <v/>
      </c>
      <c r="D6" s="11">
        <f>Targets!C14</f>
        <v/>
      </c>
      <c r="E6" s="11">
        <f>Targets!C15</f>
        <v/>
      </c>
      <c r="F6" s="6">
        <f>SUM(B6:E6)</f>
        <v/>
      </c>
    </row>
    <row r="7">
      <c r="A7" s="10" t="inlineStr">
        <is>
          <t>Deals to win</t>
        </is>
      </c>
      <c r="B7" s="14">
        <f>IFERROR(ROUNDUP(B6/Assumptions!B5,0),0)</f>
        <v/>
      </c>
      <c r="C7" s="14">
        <f>IFERROR(ROUNDUP(C6/Assumptions!C5,0),0)</f>
        <v/>
      </c>
      <c r="D7" s="14">
        <f>IFERROR(ROUNDUP(D6/Assumptions!D5,0),0)</f>
        <v/>
      </c>
      <c r="E7" s="14">
        <f>IFERROR(ROUNDUP(E6/Assumptions!E5,0),0)</f>
        <v/>
      </c>
      <c r="F7" s="15">
        <f>SUM(B7:E7)</f>
        <v/>
      </c>
    </row>
    <row r="8">
      <c r="A8" s="10" t="inlineStr">
        <is>
          <t>Opportunities needed</t>
        </is>
      </c>
      <c r="B8" s="14">
        <f>IFERROR(ROUNDUP(B7/Assumptions!B6,0),0)</f>
        <v/>
      </c>
      <c r="C8" s="14">
        <f>IFERROR(ROUNDUP(C7/Assumptions!C6,0),0)</f>
        <v/>
      </c>
      <c r="D8" s="14">
        <f>IFERROR(ROUNDUP(D7/Assumptions!D6,0),0)</f>
        <v/>
      </c>
      <c r="E8" s="14">
        <f>IFERROR(ROUNDUP(E7/Assumptions!E6,0),0)</f>
        <v/>
      </c>
      <c r="F8" s="15">
        <f>SUM(B8:E8)</f>
        <v/>
      </c>
    </row>
    <row r="9">
      <c r="A9" s="10" t="inlineStr">
        <is>
          <t>Pipeline needed ($)</t>
        </is>
      </c>
      <c r="B9" s="11">
        <f>IFERROR(B6/Assumptions!B6,0)</f>
        <v/>
      </c>
      <c r="C9" s="11">
        <f>IFERROR(C6/Assumptions!C6,0)</f>
        <v/>
      </c>
      <c r="D9" s="11">
        <f>IFERROR(D6/Assumptions!D6,0)</f>
        <v/>
      </c>
      <c r="E9" s="11">
        <f>IFERROR(E6/Assumptions!E6,0)</f>
        <v/>
      </c>
      <c r="F9" s="6">
        <f>SUM(B9:E9)</f>
        <v/>
      </c>
    </row>
    <row r="10">
      <c r="A10" s="10" t="inlineStr">
        <is>
          <t>Implied pipeline coverage</t>
        </is>
      </c>
      <c r="B10" s="16">
        <f>IFERROR(B9/B6,0)</f>
        <v/>
      </c>
      <c r="C10" s="16">
        <f>IFERROR(C9/C6,0)</f>
        <v/>
      </c>
      <c r="D10" s="16">
        <f>IFERROR(D9/D6,0)</f>
        <v/>
      </c>
      <c r="E10" s="16">
        <f>IFERROR(E9/E6,0)</f>
        <v/>
      </c>
      <c r="F10" s="17">
        <f>IFERROR(F9/F6,0)</f>
        <v/>
      </c>
    </row>
    <row r="11">
      <c r="A11" s="10" t="inlineStr">
        <is>
          <t>Opportunities to create per month</t>
        </is>
      </c>
      <c r="B11" s="29">
        <f>B8/12</f>
        <v/>
      </c>
      <c r="C11" s="29">
        <f>C8/12</f>
        <v/>
      </c>
      <c r="D11" s="29">
        <f>D8/12</f>
        <v/>
      </c>
      <c r="E11" s="29">
        <f>E8/12</f>
        <v/>
      </c>
      <c r="F11" s="30">
        <f>SUM(B11:E11)</f>
        <v/>
      </c>
    </row>
    <row r="13">
      <c r="A13" s="3" t="inlineStr">
        <is>
          <t>Pipeline needed for each quarter's target ($)</t>
        </is>
      </c>
    </row>
    <row r="14">
      <c r="A14" s="9" t="inlineStr">
        <is>
          <t>Quarter</t>
        </is>
      </c>
      <c r="B14" s="9" t="inlineStr">
        <is>
          <t>Segment 1</t>
        </is>
      </c>
      <c r="C14" s="9" t="inlineStr">
        <is>
          <t>Segment 2</t>
        </is>
      </c>
      <c r="D14" s="9" t="inlineStr">
        <is>
          <t>Segment 3</t>
        </is>
      </c>
      <c r="E14" s="9" t="inlineStr">
        <is>
          <t>Segment 4</t>
        </is>
      </c>
      <c r="F14" s="9" t="inlineStr">
        <is>
          <t>Total</t>
        </is>
      </c>
    </row>
    <row r="15">
      <c r="A15" s="10" t="inlineStr">
        <is>
          <t>Q1</t>
        </is>
      </c>
      <c r="B15" s="11">
        <f>IFERROR(Targets!D12/Assumptions!B6,0)</f>
        <v/>
      </c>
      <c r="C15" s="11">
        <f>IFERROR(Targets!D13/Assumptions!C6,0)</f>
        <v/>
      </c>
      <c r="D15" s="11">
        <f>IFERROR(Targets!D14/Assumptions!D6,0)</f>
        <v/>
      </c>
      <c r="E15" s="11">
        <f>IFERROR(Targets!D15/Assumptions!E6,0)</f>
        <v/>
      </c>
      <c r="F15" s="6">
        <f>SUM(B15:E15)</f>
        <v/>
      </c>
    </row>
    <row r="16">
      <c r="A16" s="10" t="inlineStr">
        <is>
          <t>Q2</t>
        </is>
      </c>
      <c r="B16" s="11">
        <f>IFERROR(Targets!E12/Assumptions!B6,0)</f>
        <v/>
      </c>
      <c r="C16" s="11">
        <f>IFERROR(Targets!E13/Assumptions!C6,0)</f>
        <v/>
      </c>
      <c r="D16" s="11">
        <f>IFERROR(Targets!E14/Assumptions!D6,0)</f>
        <v/>
      </c>
      <c r="E16" s="11">
        <f>IFERROR(Targets!E15/Assumptions!E6,0)</f>
        <v/>
      </c>
      <c r="F16" s="6">
        <f>SUM(B16:E16)</f>
        <v/>
      </c>
    </row>
    <row r="17">
      <c r="A17" s="10" t="inlineStr">
        <is>
          <t>Q3</t>
        </is>
      </c>
      <c r="B17" s="11">
        <f>IFERROR(Targets!F12/Assumptions!B6,0)</f>
        <v/>
      </c>
      <c r="C17" s="11">
        <f>IFERROR(Targets!F13/Assumptions!C6,0)</f>
        <v/>
      </c>
      <c r="D17" s="11">
        <f>IFERROR(Targets!F14/Assumptions!D6,0)</f>
        <v/>
      </c>
      <c r="E17" s="11">
        <f>IFERROR(Targets!F15/Assumptions!E6,0)</f>
        <v/>
      </c>
      <c r="F17" s="6">
        <f>SUM(B17:E17)</f>
        <v/>
      </c>
    </row>
    <row r="18">
      <c r="A18" s="10" t="inlineStr">
        <is>
          <t>Q4</t>
        </is>
      </c>
      <c r="B18" s="11">
        <f>IFERROR(Targets!G12/Assumptions!B6,0)</f>
        <v/>
      </c>
      <c r="C18" s="11">
        <f>IFERROR(Targets!G13/Assumptions!C6,0)</f>
        <v/>
      </c>
      <c r="D18" s="11">
        <f>IFERROR(Targets!G14/Assumptions!D6,0)</f>
        <v/>
      </c>
      <c r="E18" s="11">
        <f>IFERROR(Targets!G15/Assumptions!E6,0)</f>
        <v/>
      </c>
      <c r="F18" s="6">
        <f>SUM(B18:E18)</f>
        <v/>
      </c>
    </row>
    <row r="20">
      <c r="A20" s="3" t="inlineStr">
        <is>
          <t>Date each quarter's pipeline must exist by (quarter start minus sales cycle)</t>
        </is>
      </c>
    </row>
    <row r="21">
      <c r="A21" s="9" t="inlineStr">
        <is>
          <t>Quarter</t>
        </is>
      </c>
      <c r="B21" s="9" t="inlineStr">
        <is>
          <t>Segment 1</t>
        </is>
      </c>
      <c r="C21" s="9" t="inlineStr">
        <is>
          <t>Segment 2</t>
        </is>
      </c>
      <c r="D21" s="9" t="inlineStr">
        <is>
          <t>Segment 3</t>
        </is>
      </c>
      <c r="E21" s="9" t="inlineStr">
        <is>
          <t>Segment 4</t>
        </is>
      </c>
      <c r="F21" s="9" t="inlineStr">
        <is>
          <t>Quarter starts</t>
        </is>
      </c>
    </row>
    <row r="22">
      <c r="A22" s="10" t="inlineStr">
        <is>
          <t>Q1</t>
        </is>
      </c>
      <c r="B22" s="18">
        <f>IF(OR($F22="",Assumptions!B7=""),"",$F22-Assumptions!B7)</f>
        <v/>
      </c>
      <c r="C22" s="18">
        <f>IF(OR($F22="",Assumptions!C7=""),"",$F22-Assumptions!C7)</f>
        <v/>
      </c>
      <c r="D22" s="18">
        <f>IF(OR($F22="",Assumptions!D7=""),"",$F22-Assumptions!D7)</f>
        <v/>
      </c>
      <c r="E22" s="18">
        <f>IF(OR($F22="",Assumptions!E7=""),"",$F22-Assumptions!E7)</f>
        <v/>
      </c>
      <c r="F22" s="18">
        <f>IF(Targets!$B$4="","",DATE(YEAR(Targets!$B$4),MONTH(Targets!$B$4)+0,DAY(Targets!$B$4)))</f>
        <v/>
      </c>
    </row>
    <row r="23">
      <c r="A23" s="10" t="inlineStr">
        <is>
          <t>Q2</t>
        </is>
      </c>
      <c r="B23" s="18">
        <f>IF(OR($F23="",Assumptions!B7=""),"",$F23-Assumptions!B7)</f>
        <v/>
      </c>
      <c r="C23" s="18">
        <f>IF(OR($F23="",Assumptions!C7=""),"",$F23-Assumptions!C7)</f>
        <v/>
      </c>
      <c r="D23" s="18">
        <f>IF(OR($F23="",Assumptions!D7=""),"",$F23-Assumptions!D7)</f>
        <v/>
      </c>
      <c r="E23" s="18">
        <f>IF(OR($F23="",Assumptions!E7=""),"",$F23-Assumptions!E7)</f>
        <v/>
      </c>
      <c r="F23" s="18">
        <f>IF(Targets!$B$4="","",DATE(YEAR(Targets!$B$4),MONTH(Targets!$B$4)+3,DAY(Targets!$B$4)))</f>
        <v/>
      </c>
    </row>
    <row r="24">
      <c r="A24" s="10" t="inlineStr">
        <is>
          <t>Q3</t>
        </is>
      </c>
      <c r="B24" s="18">
        <f>IF(OR($F24="",Assumptions!B7=""),"",$F24-Assumptions!B7)</f>
        <v/>
      </c>
      <c r="C24" s="18">
        <f>IF(OR($F24="",Assumptions!C7=""),"",$F24-Assumptions!C7)</f>
        <v/>
      </c>
      <c r="D24" s="18">
        <f>IF(OR($F24="",Assumptions!D7=""),"",$F24-Assumptions!D7)</f>
        <v/>
      </c>
      <c r="E24" s="18">
        <f>IF(OR($F24="",Assumptions!E7=""),"",$F24-Assumptions!E7)</f>
        <v/>
      </c>
      <c r="F24" s="18">
        <f>IF(Targets!$B$4="","",DATE(YEAR(Targets!$B$4),MONTH(Targets!$B$4)+6,DAY(Targets!$B$4)))</f>
        <v/>
      </c>
    </row>
    <row r="25">
      <c r="A25" s="10" t="inlineStr">
        <is>
          <t>Q4</t>
        </is>
      </c>
      <c r="B25" s="18">
        <f>IF(OR($F25="",Assumptions!B7=""),"",$F25-Assumptions!B7)</f>
        <v/>
      </c>
      <c r="C25" s="18">
        <f>IF(OR($F25="",Assumptions!C7=""),"",$F25-Assumptions!C7)</f>
        <v/>
      </c>
      <c r="D25" s="18">
        <f>IF(OR($F25="",Assumptions!D7=""),"",$F25-Assumptions!D7)</f>
        <v/>
      </c>
      <c r="E25" s="18">
        <f>IF(OR($F25="",Assumptions!E7=""),"",$F25-Assumptions!E7)</f>
        <v/>
      </c>
      <c r="F25" s="18">
        <f>IF(Targets!$B$4="","",DATE(YEAR(Targets!$B$4),MONTH(Targets!$B$4)+9,DAY(Targets!$B$4)))</f>
        <v/>
      </c>
    </row>
    <row r="27">
      <c r="A27" s="2" t="inlineStr">
        <is>
          <t>This is the simple version: pipeline needed = target / win rate. Real quarters also close deals created inside the quarter and deals pulled forward from later quarters, so track those sources separately once the year starts.</t>
        </is>
      </c>
    </row>
  </sheetData>
  <pageMargins left="0.75" right="0.75" top="1" bottom="1" header="0.5" footer="0.5"/>
  <pageSetup orientation="landscape" fitToWidth="1"/>
</worksheet>
</file>

<file path=xl/worksheets/sheet6.xml><?xml version="1.0" encoding="utf-8"?>
<worksheet xmlns="http://schemas.openxmlformats.org/spreadsheetml/2006/main">
  <sheetPr>
    <outlinePr summaryBelow="1" summaryRight="1"/>
    <pageSetUpPr/>
  </sheetPr>
  <dimension ref="A1:U46"/>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22" customWidth="1" min="1" max="1"/>
    <col width="14" customWidth="1" min="2" max="2"/>
    <col width="14" customWidth="1" min="3" max="3"/>
    <col width="14" customWidth="1" min="4" max="4"/>
    <col width="14" customWidth="1" min="5" max="5"/>
    <col width="12" customWidth="1" min="6" max="6"/>
    <col width="6.5" customWidth="1" min="7" max="7"/>
    <col width="6.5" customWidth="1" min="8" max="8"/>
    <col width="6.5" customWidth="1" min="9" max="9"/>
    <col width="6.5" customWidth="1" min="10" max="10"/>
    <col width="6.5" customWidth="1" min="11" max="11"/>
    <col width="6.5" customWidth="1" min="12" max="12"/>
    <col width="6.5" customWidth="1" min="13" max="13"/>
    <col width="6.5" customWidth="1" min="14" max="14"/>
    <col width="6.5" customWidth="1" min="15" max="15"/>
    <col width="6.5" customWidth="1" min="16" max="16"/>
    <col width="6.5" customWidth="1" min="17" max="17"/>
    <col width="6.5" customWidth="1" min="18" max="18"/>
    <col width="11" customWidth="1" min="19" max="19"/>
    <col width="16" customWidth="1" min="20" max="20"/>
    <col width="18" customWidth="1" min="21" max="21"/>
  </cols>
  <sheetData>
    <row r="1">
      <c r="A1" s="1" t="inlineStr">
        <is>
          <t>Capacity: reps, ramp and expected bookings</t>
        </is>
      </c>
    </row>
    <row r="2">
      <c r="A2" s="2" t="inlineStr">
        <is>
          <t>One row per rep or open role. Leave start month blank for reps already on the team. Month columns show the ramp factor (1.0 = fully ramped).</t>
        </is>
      </c>
    </row>
    <row r="4">
      <c r="A4" s="9" t="inlineStr">
        <is>
          <t>Rep or open role</t>
        </is>
      </c>
      <c r="B4" s="9" t="inlineStr">
        <is>
          <t>Segment</t>
        </is>
      </c>
      <c r="C4" s="9" t="inlineStr">
        <is>
          <t>Tenure at plan start (months)</t>
        </is>
      </c>
      <c r="D4" s="9" t="inlineStr">
        <is>
          <t>Start month (new hires, 1 to 12)</t>
        </is>
      </c>
      <c r="E4" s="9" t="inlineStr">
        <is>
          <t>Annual quota ($)</t>
        </is>
      </c>
      <c r="F4" s="9" t="inlineStr">
        <is>
          <t>Planned attainment</t>
        </is>
      </c>
      <c r="G4" s="9" t="inlineStr">
        <is>
          <t>M1</t>
        </is>
      </c>
      <c r="H4" s="9" t="inlineStr">
        <is>
          <t>M2</t>
        </is>
      </c>
      <c r="I4" s="9" t="inlineStr">
        <is>
          <t>M3</t>
        </is>
      </c>
      <c r="J4" s="9" t="inlineStr">
        <is>
          <t>M4</t>
        </is>
      </c>
      <c r="K4" s="9" t="inlineStr">
        <is>
          <t>M5</t>
        </is>
      </c>
      <c r="L4" s="9" t="inlineStr">
        <is>
          <t>M6</t>
        </is>
      </c>
      <c r="M4" s="9" t="inlineStr">
        <is>
          <t>M7</t>
        </is>
      </c>
      <c r="N4" s="9" t="inlineStr">
        <is>
          <t>M8</t>
        </is>
      </c>
      <c r="O4" s="9" t="inlineStr">
        <is>
          <t>M9</t>
        </is>
      </c>
      <c r="P4" s="9" t="inlineStr">
        <is>
          <t>M10</t>
        </is>
      </c>
      <c r="Q4" s="9" t="inlineStr">
        <is>
          <t>M11</t>
        </is>
      </c>
      <c r="R4" s="9" t="inlineStr">
        <is>
          <t>M12</t>
        </is>
      </c>
      <c r="S4" s="9" t="inlineStr">
        <is>
          <t>Ramp months (sum)</t>
        </is>
      </c>
      <c r="T4" s="9" t="inlineStr">
        <is>
          <t>Expected bookings ($)</t>
        </is>
      </c>
      <c r="U4" s="9" t="inlineStr">
        <is>
          <t>Assigned quota in plan year ($)</t>
        </is>
      </c>
    </row>
    <row r="5">
      <c r="A5" s="2" t="inlineStr">
        <is>
          <t>(month number used by the formulas)</t>
        </is>
      </c>
      <c r="G5" s="2" t="n">
        <v>1</v>
      </c>
      <c r="H5" s="2" t="n">
        <v>2</v>
      </c>
      <c r="I5" s="2" t="n">
        <v>3</v>
      </c>
      <c r="J5" s="2" t="n">
        <v>4</v>
      </c>
      <c r="K5" s="2" t="n">
        <v>5</v>
      </c>
      <c r="L5" s="2" t="n">
        <v>6</v>
      </c>
      <c r="M5" s="2" t="n">
        <v>7</v>
      </c>
      <c r="N5" s="2" t="n">
        <v>8</v>
      </c>
      <c r="O5" s="2" t="n">
        <v>9</v>
      </c>
      <c r="P5" s="2" t="n">
        <v>10</v>
      </c>
      <c r="Q5" s="2" t="n">
        <v>11</v>
      </c>
      <c r="R5" s="2" t="n">
        <v>12</v>
      </c>
    </row>
    <row r="6">
      <c r="A6" s="20" t="n"/>
      <c r="B6" s="20" t="n"/>
      <c r="C6" s="25" t="n"/>
      <c r="D6" s="25" t="n"/>
      <c r="E6" s="31">
        <f>IF($B6="",0,IFERROR(INDEX(Assumptions!$B$8:$E$8,1,MATCH($B6,Assumptions!$B$4:$E$4,0)),0))</f>
        <v/>
      </c>
      <c r="F6" s="12">
        <f>IF($B6="",0,IFERROR(INDEX(Assumptions!$B$9:$E$9,1,MATCH($B6,Assumptions!$B$4:$E$4,0)),0))</f>
        <v/>
      </c>
      <c r="G6" s="32">
        <f>IF($B6="",0,IFERROR(IF($D6="",INDEX(Assumptions!$B$14:$E$19,MIN(6,ROUNDUP(($C6+G$5)/3,0)),MATCH($B6,Assumptions!$B$4:$E$4,0)),IF(G$5&lt;$D6,0,INDEX(Assumptions!$B$14:$E$19,MIN(6,ROUNDUP((G$5-$D6+1)/3,0)),MATCH($B6,Assumptions!$B$4:$E$4,0)))),0))</f>
        <v/>
      </c>
      <c r="H6" s="32">
        <f>IF($B6="",0,IFERROR(IF($D6="",INDEX(Assumptions!$B$14:$E$19,MIN(6,ROUNDUP(($C6+H$5)/3,0)),MATCH($B6,Assumptions!$B$4:$E$4,0)),IF(H$5&lt;$D6,0,INDEX(Assumptions!$B$14:$E$19,MIN(6,ROUNDUP((H$5-$D6+1)/3,0)),MATCH($B6,Assumptions!$B$4:$E$4,0)))),0))</f>
        <v/>
      </c>
      <c r="I6" s="32">
        <f>IF($B6="",0,IFERROR(IF($D6="",INDEX(Assumptions!$B$14:$E$19,MIN(6,ROUNDUP(($C6+I$5)/3,0)),MATCH($B6,Assumptions!$B$4:$E$4,0)),IF(I$5&lt;$D6,0,INDEX(Assumptions!$B$14:$E$19,MIN(6,ROUNDUP((I$5-$D6+1)/3,0)),MATCH($B6,Assumptions!$B$4:$E$4,0)))),0))</f>
        <v/>
      </c>
      <c r="J6" s="32">
        <f>IF($B6="",0,IFERROR(IF($D6="",INDEX(Assumptions!$B$14:$E$19,MIN(6,ROUNDUP(($C6+J$5)/3,0)),MATCH($B6,Assumptions!$B$4:$E$4,0)),IF(J$5&lt;$D6,0,INDEX(Assumptions!$B$14:$E$19,MIN(6,ROUNDUP((J$5-$D6+1)/3,0)),MATCH($B6,Assumptions!$B$4:$E$4,0)))),0))</f>
        <v/>
      </c>
      <c r="K6" s="32">
        <f>IF($B6="",0,IFERROR(IF($D6="",INDEX(Assumptions!$B$14:$E$19,MIN(6,ROUNDUP(($C6+K$5)/3,0)),MATCH($B6,Assumptions!$B$4:$E$4,0)),IF(K$5&lt;$D6,0,INDEX(Assumptions!$B$14:$E$19,MIN(6,ROUNDUP((K$5-$D6+1)/3,0)),MATCH($B6,Assumptions!$B$4:$E$4,0)))),0))</f>
        <v/>
      </c>
      <c r="L6" s="32">
        <f>IF($B6="",0,IFERROR(IF($D6="",INDEX(Assumptions!$B$14:$E$19,MIN(6,ROUNDUP(($C6+L$5)/3,0)),MATCH($B6,Assumptions!$B$4:$E$4,0)),IF(L$5&lt;$D6,0,INDEX(Assumptions!$B$14:$E$19,MIN(6,ROUNDUP((L$5-$D6+1)/3,0)),MATCH($B6,Assumptions!$B$4:$E$4,0)))),0))</f>
        <v/>
      </c>
      <c r="M6" s="32">
        <f>IF($B6="",0,IFERROR(IF($D6="",INDEX(Assumptions!$B$14:$E$19,MIN(6,ROUNDUP(($C6+M$5)/3,0)),MATCH($B6,Assumptions!$B$4:$E$4,0)),IF(M$5&lt;$D6,0,INDEX(Assumptions!$B$14:$E$19,MIN(6,ROUNDUP((M$5-$D6+1)/3,0)),MATCH($B6,Assumptions!$B$4:$E$4,0)))),0))</f>
        <v/>
      </c>
      <c r="N6" s="32">
        <f>IF($B6="",0,IFERROR(IF($D6="",INDEX(Assumptions!$B$14:$E$19,MIN(6,ROUNDUP(($C6+N$5)/3,0)),MATCH($B6,Assumptions!$B$4:$E$4,0)),IF(N$5&lt;$D6,0,INDEX(Assumptions!$B$14:$E$19,MIN(6,ROUNDUP((N$5-$D6+1)/3,0)),MATCH($B6,Assumptions!$B$4:$E$4,0)))),0))</f>
        <v/>
      </c>
      <c r="O6" s="32">
        <f>IF($B6="",0,IFERROR(IF($D6="",INDEX(Assumptions!$B$14:$E$19,MIN(6,ROUNDUP(($C6+O$5)/3,0)),MATCH($B6,Assumptions!$B$4:$E$4,0)),IF(O$5&lt;$D6,0,INDEX(Assumptions!$B$14:$E$19,MIN(6,ROUNDUP((O$5-$D6+1)/3,0)),MATCH($B6,Assumptions!$B$4:$E$4,0)))),0))</f>
        <v/>
      </c>
      <c r="P6" s="32">
        <f>IF($B6="",0,IFERROR(IF($D6="",INDEX(Assumptions!$B$14:$E$19,MIN(6,ROUNDUP(($C6+P$5)/3,0)),MATCH($B6,Assumptions!$B$4:$E$4,0)),IF(P$5&lt;$D6,0,INDEX(Assumptions!$B$14:$E$19,MIN(6,ROUNDUP((P$5-$D6+1)/3,0)),MATCH($B6,Assumptions!$B$4:$E$4,0)))),0))</f>
        <v/>
      </c>
      <c r="Q6" s="32">
        <f>IF($B6="",0,IFERROR(IF($D6="",INDEX(Assumptions!$B$14:$E$19,MIN(6,ROUNDUP(($C6+Q$5)/3,0)),MATCH($B6,Assumptions!$B$4:$E$4,0)),IF(Q$5&lt;$D6,0,INDEX(Assumptions!$B$14:$E$19,MIN(6,ROUNDUP((Q$5-$D6+1)/3,0)),MATCH($B6,Assumptions!$B$4:$E$4,0)))),0))</f>
        <v/>
      </c>
      <c r="R6" s="32">
        <f>IF($B6="",0,IFERROR(IF($D6="",INDEX(Assumptions!$B$14:$E$19,MIN(6,ROUNDUP(($C6+R$5)/3,0)),MATCH($B6,Assumptions!$B$4:$E$4,0)),IF(R$5&lt;$D6,0,INDEX(Assumptions!$B$14:$E$19,MIN(6,ROUNDUP((R$5-$D6+1)/3,0)),MATCH($B6,Assumptions!$B$4:$E$4,0)))),0))</f>
        <v/>
      </c>
      <c r="S6" s="32">
        <f>SUM(G6:R6)</f>
        <v/>
      </c>
      <c r="T6" s="11">
        <f>E6/12*F6*S6</f>
        <v/>
      </c>
      <c r="U6" s="11">
        <f>IF($B6="",0,IF($D6="",E6,E6*(13-MIN(12,MAX(1,$D6)))/12))</f>
        <v/>
      </c>
    </row>
    <row r="7">
      <c r="A7" s="20" t="n"/>
      <c r="B7" s="20" t="n"/>
      <c r="C7" s="25" t="n"/>
      <c r="D7" s="25" t="n"/>
      <c r="E7" s="31">
        <f>IF($B7="",0,IFERROR(INDEX(Assumptions!$B$8:$E$8,1,MATCH($B7,Assumptions!$B$4:$E$4,0)),0))</f>
        <v/>
      </c>
      <c r="F7" s="12">
        <f>IF($B7="",0,IFERROR(INDEX(Assumptions!$B$9:$E$9,1,MATCH($B7,Assumptions!$B$4:$E$4,0)),0))</f>
        <v/>
      </c>
      <c r="G7" s="32">
        <f>IF($B7="",0,IFERROR(IF($D7="",INDEX(Assumptions!$B$14:$E$19,MIN(6,ROUNDUP(($C7+G$5)/3,0)),MATCH($B7,Assumptions!$B$4:$E$4,0)),IF(G$5&lt;$D7,0,INDEX(Assumptions!$B$14:$E$19,MIN(6,ROUNDUP((G$5-$D7+1)/3,0)),MATCH($B7,Assumptions!$B$4:$E$4,0)))),0))</f>
        <v/>
      </c>
      <c r="H7" s="32">
        <f>IF($B7="",0,IFERROR(IF($D7="",INDEX(Assumptions!$B$14:$E$19,MIN(6,ROUNDUP(($C7+H$5)/3,0)),MATCH($B7,Assumptions!$B$4:$E$4,0)),IF(H$5&lt;$D7,0,INDEX(Assumptions!$B$14:$E$19,MIN(6,ROUNDUP((H$5-$D7+1)/3,0)),MATCH($B7,Assumptions!$B$4:$E$4,0)))),0))</f>
        <v/>
      </c>
      <c r="I7" s="32">
        <f>IF($B7="",0,IFERROR(IF($D7="",INDEX(Assumptions!$B$14:$E$19,MIN(6,ROUNDUP(($C7+I$5)/3,0)),MATCH($B7,Assumptions!$B$4:$E$4,0)),IF(I$5&lt;$D7,0,INDEX(Assumptions!$B$14:$E$19,MIN(6,ROUNDUP((I$5-$D7+1)/3,0)),MATCH($B7,Assumptions!$B$4:$E$4,0)))),0))</f>
        <v/>
      </c>
      <c r="J7" s="32">
        <f>IF($B7="",0,IFERROR(IF($D7="",INDEX(Assumptions!$B$14:$E$19,MIN(6,ROUNDUP(($C7+J$5)/3,0)),MATCH($B7,Assumptions!$B$4:$E$4,0)),IF(J$5&lt;$D7,0,INDEX(Assumptions!$B$14:$E$19,MIN(6,ROUNDUP((J$5-$D7+1)/3,0)),MATCH($B7,Assumptions!$B$4:$E$4,0)))),0))</f>
        <v/>
      </c>
      <c r="K7" s="32">
        <f>IF($B7="",0,IFERROR(IF($D7="",INDEX(Assumptions!$B$14:$E$19,MIN(6,ROUNDUP(($C7+K$5)/3,0)),MATCH($B7,Assumptions!$B$4:$E$4,0)),IF(K$5&lt;$D7,0,INDEX(Assumptions!$B$14:$E$19,MIN(6,ROUNDUP((K$5-$D7+1)/3,0)),MATCH($B7,Assumptions!$B$4:$E$4,0)))),0))</f>
        <v/>
      </c>
      <c r="L7" s="32">
        <f>IF($B7="",0,IFERROR(IF($D7="",INDEX(Assumptions!$B$14:$E$19,MIN(6,ROUNDUP(($C7+L$5)/3,0)),MATCH($B7,Assumptions!$B$4:$E$4,0)),IF(L$5&lt;$D7,0,INDEX(Assumptions!$B$14:$E$19,MIN(6,ROUNDUP((L$5-$D7+1)/3,0)),MATCH($B7,Assumptions!$B$4:$E$4,0)))),0))</f>
        <v/>
      </c>
      <c r="M7" s="32">
        <f>IF($B7="",0,IFERROR(IF($D7="",INDEX(Assumptions!$B$14:$E$19,MIN(6,ROUNDUP(($C7+M$5)/3,0)),MATCH($B7,Assumptions!$B$4:$E$4,0)),IF(M$5&lt;$D7,0,INDEX(Assumptions!$B$14:$E$19,MIN(6,ROUNDUP((M$5-$D7+1)/3,0)),MATCH($B7,Assumptions!$B$4:$E$4,0)))),0))</f>
        <v/>
      </c>
      <c r="N7" s="32">
        <f>IF($B7="",0,IFERROR(IF($D7="",INDEX(Assumptions!$B$14:$E$19,MIN(6,ROUNDUP(($C7+N$5)/3,0)),MATCH($B7,Assumptions!$B$4:$E$4,0)),IF(N$5&lt;$D7,0,INDEX(Assumptions!$B$14:$E$19,MIN(6,ROUNDUP((N$5-$D7+1)/3,0)),MATCH($B7,Assumptions!$B$4:$E$4,0)))),0))</f>
        <v/>
      </c>
      <c r="O7" s="32">
        <f>IF($B7="",0,IFERROR(IF($D7="",INDEX(Assumptions!$B$14:$E$19,MIN(6,ROUNDUP(($C7+O$5)/3,0)),MATCH($B7,Assumptions!$B$4:$E$4,0)),IF(O$5&lt;$D7,0,INDEX(Assumptions!$B$14:$E$19,MIN(6,ROUNDUP((O$5-$D7+1)/3,0)),MATCH($B7,Assumptions!$B$4:$E$4,0)))),0))</f>
        <v/>
      </c>
      <c r="P7" s="32">
        <f>IF($B7="",0,IFERROR(IF($D7="",INDEX(Assumptions!$B$14:$E$19,MIN(6,ROUNDUP(($C7+P$5)/3,0)),MATCH($B7,Assumptions!$B$4:$E$4,0)),IF(P$5&lt;$D7,0,INDEX(Assumptions!$B$14:$E$19,MIN(6,ROUNDUP((P$5-$D7+1)/3,0)),MATCH($B7,Assumptions!$B$4:$E$4,0)))),0))</f>
        <v/>
      </c>
      <c r="Q7" s="32">
        <f>IF($B7="",0,IFERROR(IF($D7="",INDEX(Assumptions!$B$14:$E$19,MIN(6,ROUNDUP(($C7+Q$5)/3,0)),MATCH($B7,Assumptions!$B$4:$E$4,0)),IF(Q$5&lt;$D7,0,INDEX(Assumptions!$B$14:$E$19,MIN(6,ROUNDUP((Q$5-$D7+1)/3,0)),MATCH($B7,Assumptions!$B$4:$E$4,0)))),0))</f>
        <v/>
      </c>
      <c r="R7" s="32">
        <f>IF($B7="",0,IFERROR(IF($D7="",INDEX(Assumptions!$B$14:$E$19,MIN(6,ROUNDUP(($C7+R$5)/3,0)),MATCH($B7,Assumptions!$B$4:$E$4,0)),IF(R$5&lt;$D7,0,INDEX(Assumptions!$B$14:$E$19,MIN(6,ROUNDUP((R$5-$D7+1)/3,0)),MATCH($B7,Assumptions!$B$4:$E$4,0)))),0))</f>
        <v/>
      </c>
      <c r="S7" s="32">
        <f>SUM(G7:R7)</f>
        <v/>
      </c>
      <c r="T7" s="11">
        <f>E7/12*F7*S7</f>
        <v/>
      </c>
      <c r="U7" s="11">
        <f>IF($B7="",0,IF($D7="",E7,E7*(13-MIN(12,MAX(1,$D7)))/12))</f>
        <v/>
      </c>
    </row>
    <row r="8">
      <c r="A8" s="20" t="n"/>
      <c r="B8" s="20" t="n"/>
      <c r="C8" s="25" t="n"/>
      <c r="D8" s="25" t="n"/>
      <c r="E8" s="31">
        <f>IF($B8="",0,IFERROR(INDEX(Assumptions!$B$8:$E$8,1,MATCH($B8,Assumptions!$B$4:$E$4,0)),0))</f>
        <v/>
      </c>
      <c r="F8" s="12">
        <f>IF($B8="",0,IFERROR(INDEX(Assumptions!$B$9:$E$9,1,MATCH($B8,Assumptions!$B$4:$E$4,0)),0))</f>
        <v/>
      </c>
      <c r="G8" s="32">
        <f>IF($B8="",0,IFERROR(IF($D8="",INDEX(Assumptions!$B$14:$E$19,MIN(6,ROUNDUP(($C8+G$5)/3,0)),MATCH($B8,Assumptions!$B$4:$E$4,0)),IF(G$5&lt;$D8,0,INDEX(Assumptions!$B$14:$E$19,MIN(6,ROUNDUP((G$5-$D8+1)/3,0)),MATCH($B8,Assumptions!$B$4:$E$4,0)))),0))</f>
        <v/>
      </c>
      <c r="H8" s="32">
        <f>IF($B8="",0,IFERROR(IF($D8="",INDEX(Assumptions!$B$14:$E$19,MIN(6,ROUNDUP(($C8+H$5)/3,0)),MATCH($B8,Assumptions!$B$4:$E$4,0)),IF(H$5&lt;$D8,0,INDEX(Assumptions!$B$14:$E$19,MIN(6,ROUNDUP((H$5-$D8+1)/3,0)),MATCH($B8,Assumptions!$B$4:$E$4,0)))),0))</f>
        <v/>
      </c>
      <c r="I8" s="32">
        <f>IF($B8="",0,IFERROR(IF($D8="",INDEX(Assumptions!$B$14:$E$19,MIN(6,ROUNDUP(($C8+I$5)/3,0)),MATCH($B8,Assumptions!$B$4:$E$4,0)),IF(I$5&lt;$D8,0,INDEX(Assumptions!$B$14:$E$19,MIN(6,ROUNDUP((I$5-$D8+1)/3,0)),MATCH($B8,Assumptions!$B$4:$E$4,0)))),0))</f>
        <v/>
      </c>
      <c r="J8" s="32">
        <f>IF($B8="",0,IFERROR(IF($D8="",INDEX(Assumptions!$B$14:$E$19,MIN(6,ROUNDUP(($C8+J$5)/3,0)),MATCH($B8,Assumptions!$B$4:$E$4,0)),IF(J$5&lt;$D8,0,INDEX(Assumptions!$B$14:$E$19,MIN(6,ROUNDUP((J$5-$D8+1)/3,0)),MATCH($B8,Assumptions!$B$4:$E$4,0)))),0))</f>
        <v/>
      </c>
      <c r="K8" s="32">
        <f>IF($B8="",0,IFERROR(IF($D8="",INDEX(Assumptions!$B$14:$E$19,MIN(6,ROUNDUP(($C8+K$5)/3,0)),MATCH($B8,Assumptions!$B$4:$E$4,0)),IF(K$5&lt;$D8,0,INDEX(Assumptions!$B$14:$E$19,MIN(6,ROUNDUP((K$5-$D8+1)/3,0)),MATCH($B8,Assumptions!$B$4:$E$4,0)))),0))</f>
        <v/>
      </c>
      <c r="L8" s="32">
        <f>IF($B8="",0,IFERROR(IF($D8="",INDEX(Assumptions!$B$14:$E$19,MIN(6,ROUNDUP(($C8+L$5)/3,0)),MATCH($B8,Assumptions!$B$4:$E$4,0)),IF(L$5&lt;$D8,0,INDEX(Assumptions!$B$14:$E$19,MIN(6,ROUNDUP((L$5-$D8+1)/3,0)),MATCH($B8,Assumptions!$B$4:$E$4,0)))),0))</f>
        <v/>
      </c>
      <c r="M8" s="32">
        <f>IF($B8="",0,IFERROR(IF($D8="",INDEX(Assumptions!$B$14:$E$19,MIN(6,ROUNDUP(($C8+M$5)/3,0)),MATCH($B8,Assumptions!$B$4:$E$4,0)),IF(M$5&lt;$D8,0,INDEX(Assumptions!$B$14:$E$19,MIN(6,ROUNDUP((M$5-$D8+1)/3,0)),MATCH($B8,Assumptions!$B$4:$E$4,0)))),0))</f>
        <v/>
      </c>
      <c r="N8" s="32">
        <f>IF($B8="",0,IFERROR(IF($D8="",INDEX(Assumptions!$B$14:$E$19,MIN(6,ROUNDUP(($C8+N$5)/3,0)),MATCH($B8,Assumptions!$B$4:$E$4,0)),IF(N$5&lt;$D8,0,INDEX(Assumptions!$B$14:$E$19,MIN(6,ROUNDUP((N$5-$D8+1)/3,0)),MATCH($B8,Assumptions!$B$4:$E$4,0)))),0))</f>
        <v/>
      </c>
      <c r="O8" s="32">
        <f>IF($B8="",0,IFERROR(IF($D8="",INDEX(Assumptions!$B$14:$E$19,MIN(6,ROUNDUP(($C8+O$5)/3,0)),MATCH($B8,Assumptions!$B$4:$E$4,0)),IF(O$5&lt;$D8,0,INDEX(Assumptions!$B$14:$E$19,MIN(6,ROUNDUP((O$5-$D8+1)/3,0)),MATCH($B8,Assumptions!$B$4:$E$4,0)))),0))</f>
        <v/>
      </c>
      <c r="P8" s="32">
        <f>IF($B8="",0,IFERROR(IF($D8="",INDEX(Assumptions!$B$14:$E$19,MIN(6,ROUNDUP(($C8+P$5)/3,0)),MATCH($B8,Assumptions!$B$4:$E$4,0)),IF(P$5&lt;$D8,0,INDEX(Assumptions!$B$14:$E$19,MIN(6,ROUNDUP((P$5-$D8+1)/3,0)),MATCH($B8,Assumptions!$B$4:$E$4,0)))),0))</f>
        <v/>
      </c>
      <c r="Q8" s="32">
        <f>IF($B8="",0,IFERROR(IF($D8="",INDEX(Assumptions!$B$14:$E$19,MIN(6,ROUNDUP(($C8+Q$5)/3,0)),MATCH($B8,Assumptions!$B$4:$E$4,0)),IF(Q$5&lt;$D8,0,INDEX(Assumptions!$B$14:$E$19,MIN(6,ROUNDUP((Q$5-$D8+1)/3,0)),MATCH($B8,Assumptions!$B$4:$E$4,0)))),0))</f>
        <v/>
      </c>
      <c r="R8" s="32">
        <f>IF($B8="",0,IFERROR(IF($D8="",INDEX(Assumptions!$B$14:$E$19,MIN(6,ROUNDUP(($C8+R$5)/3,0)),MATCH($B8,Assumptions!$B$4:$E$4,0)),IF(R$5&lt;$D8,0,INDEX(Assumptions!$B$14:$E$19,MIN(6,ROUNDUP((R$5-$D8+1)/3,0)),MATCH($B8,Assumptions!$B$4:$E$4,0)))),0))</f>
        <v/>
      </c>
      <c r="S8" s="32">
        <f>SUM(G8:R8)</f>
        <v/>
      </c>
      <c r="T8" s="11">
        <f>E8/12*F8*S8</f>
        <v/>
      </c>
      <c r="U8" s="11">
        <f>IF($B8="",0,IF($D8="",E8,E8*(13-MIN(12,MAX(1,$D8)))/12))</f>
        <v/>
      </c>
    </row>
    <row r="9">
      <c r="A9" s="20" t="n"/>
      <c r="B9" s="20" t="n"/>
      <c r="C9" s="25" t="n"/>
      <c r="D9" s="25" t="n"/>
      <c r="E9" s="31">
        <f>IF($B9="",0,IFERROR(INDEX(Assumptions!$B$8:$E$8,1,MATCH($B9,Assumptions!$B$4:$E$4,0)),0))</f>
        <v/>
      </c>
      <c r="F9" s="12">
        <f>IF($B9="",0,IFERROR(INDEX(Assumptions!$B$9:$E$9,1,MATCH($B9,Assumptions!$B$4:$E$4,0)),0))</f>
        <v/>
      </c>
      <c r="G9" s="32">
        <f>IF($B9="",0,IFERROR(IF($D9="",INDEX(Assumptions!$B$14:$E$19,MIN(6,ROUNDUP(($C9+G$5)/3,0)),MATCH($B9,Assumptions!$B$4:$E$4,0)),IF(G$5&lt;$D9,0,INDEX(Assumptions!$B$14:$E$19,MIN(6,ROUNDUP((G$5-$D9+1)/3,0)),MATCH($B9,Assumptions!$B$4:$E$4,0)))),0))</f>
        <v/>
      </c>
      <c r="H9" s="32">
        <f>IF($B9="",0,IFERROR(IF($D9="",INDEX(Assumptions!$B$14:$E$19,MIN(6,ROUNDUP(($C9+H$5)/3,0)),MATCH($B9,Assumptions!$B$4:$E$4,0)),IF(H$5&lt;$D9,0,INDEX(Assumptions!$B$14:$E$19,MIN(6,ROUNDUP((H$5-$D9+1)/3,0)),MATCH($B9,Assumptions!$B$4:$E$4,0)))),0))</f>
        <v/>
      </c>
      <c r="I9" s="32">
        <f>IF($B9="",0,IFERROR(IF($D9="",INDEX(Assumptions!$B$14:$E$19,MIN(6,ROUNDUP(($C9+I$5)/3,0)),MATCH($B9,Assumptions!$B$4:$E$4,0)),IF(I$5&lt;$D9,0,INDEX(Assumptions!$B$14:$E$19,MIN(6,ROUNDUP((I$5-$D9+1)/3,0)),MATCH($B9,Assumptions!$B$4:$E$4,0)))),0))</f>
        <v/>
      </c>
      <c r="J9" s="32">
        <f>IF($B9="",0,IFERROR(IF($D9="",INDEX(Assumptions!$B$14:$E$19,MIN(6,ROUNDUP(($C9+J$5)/3,0)),MATCH($B9,Assumptions!$B$4:$E$4,0)),IF(J$5&lt;$D9,0,INDEX(Assumptions!$B$14:$E$19,MIN(6,ROUNDUP((J$5-$D9+1)/3,0)),MATCH($B9,Assumptions!$B$4:$E$4,0)))),0))</f>
        <v/>
      </c>
      <c r="K9" s="32">
        <f>IF($B9="",0,IFERROR(IF($D9="",INDEX(Assumptions!$B$14:$E$19,MIN(6,ROUNDUP(($C9+K$5)/3,0)),MATCH($B9,Assumptions!$B$4:$E$4,0)),IF(K$5&lt;$D9,0,INDEX(Assumptions!$B$14:$E$19,MIN(6,ROUNDUP((K$5-$D9+1)/3,0)),MATCH($B9,Assumptions!$B$4:$E$4,0)))),0))</f>
        <v/>
      </c>
      <c r="L9" s="32">
        <f>IF($B9="",0,IFERROR(IF($D9="",INDEX(Assumptions!$B$14:$E$19,MIN(6,ROUNDUP(($C9+L$5)/3,0)),MATCH($B9,Assumptions!$B$4:$E$4,0)),IF(L$5&lt;$D9,0,INDEX(Assumptions!$B$14:$E$19,MIN(6,ROUNDUP((L$5-$D9+1)/3,0)),MATCH($B9,Assumptions!$B$4:$E$4,0)))),0))</f>
        <v/>
      </c>
      <c r="M9" s="32">
        <f>IF($B9="",0,IFERROR(IF($D9="",INDEX(Assumptions!$B$14:$E$19,MIN(6,ROUNDUP(($C9+M$5)/3,0)),MATCH($B9,Assumptions!$B$4:$E$4,0)),IF(M$5&lt;$D9,0,INDEX(Assumptions!$B$14:$E$19,MIN(6,ROUNDUP((M$5-$D9+1)/3,0)),MATCH($B9,Assumptions!$B$4:$E$4,0)))),0))</f>
        <v/>
      </c>
      <c r="N9" s="32">
        <f>IF($B9="",0,IFERROR(IF($D9="",INDEX(Assumptions!$B$14:$E$19,MIN(6,ROUNDUP(($C9+N$5)/3,0)),MATCH($B9,Assumptions!$B$4:$E$4,0)),IF(N$5&lt;$D9,0,INDEX(Assumptions!$B$14:$E$19,MIN(6,ROUNDUP((N$5-$D9+1)/3,0)),MATCH($B9,Assumptions!$B$4:$E$4,0)))),0))</f>
        <v/>
      </c>
      <c r="O9" s="32">
        <f>IF($B9="",0,IFERROR(IF($D9="",INDEX(Assumptions!$B$14:$E$19,MIN(6,ROUNDUP(($C9+O$5)/3,0)),MATCH($B9,Assumptions!$B$4:$E$4,0)),IF(O$5&lt;$D9,0,INDEX(Assumptions!$B$14:$E$19,MIN(6,ROUNDUP((O$5-$D9+1)/3,0)),MATCH($B9,Assumptions!$B$4:$E$4,0)))),0))</f>
        <v/>
      </c>
      <c r="P9" s="32">
        <f>IF($B9="",0,IFERROR(IF($D9="",INDEX(Assumptions!$B$14:$E$19,MIN(6,ROUNDUP(($C9+P$5)/3,0)),MATCH($B9,Assumptions!$B$4:$E$4,0)),IF(P$5&lt;$D9,0,INDEX(Assumptions!$B$14:$E$19,MIN(6,ROUNDUP((P$5-$D9+1)/3,0)),MATCH($B9,Assumptions!$B$4:$E$4,0)))),0))</f>
        <v/>
      </c>
      <c r="Q9" s="32">
        <f>IF($B9="",0,IFERROR(IF($D9="",INDEX(Assumptions!$B$14:$E$19,MIN(6,ROUNDUP(($C9+Q$5)/3,0)),MATCH($B9,Assumptions!$B$4:$E$4,0)),IF(Q$5&lt;$D9,0,INDEX(Assumptions!$B$14:$E$19,MIN(6,ROUNDUP((Q$5-$D9+1)/3,0)),MATCH($B9,Assumptions!$B$4:$E$4,0)))),0))</f>
        <v/>
      </c>
      <c r="R9" s="32">
        <f>IF($B9="",0,IFERROR(IF($D9="",INDEX(Assumptions!$B$14:$E$19,MIN(6,ROUNDUP(($C9+R$5)/3,0)),MATCH($B9,Assumptions!$B$4:$E$4,0)),IF(R$5&lt;$D9,0,INDEX(Assumptions!$B$14:$E$19,MIN(6,ROUNDUP((R$5-$D9+1)/3,0)),MATCH($B9,Assumptions!$B$4:$E$4,0)))),0))</f>
        <v/>
      </c>
      <c r="S9" s="32">
        <f>SUM(G9:R9)</f>
        <v/>
      </c>
      <c r="T9" s="11">
        <f>E9/12*F9*S9</f>
        <v/>
      </c>
      <c r="U9" s="11">
        <f>IF($B9="",0,IF($D9="",E9,E9*(13-MIN(12,MAX(1,$D9)))/12))</f>
        <v/>
      </c>
    </row>
    <row r="10">
      <c r="A10" s="20" t="n"/>
      <c r="B10" s="20" t="n"/>
      <c r="C10" s="25" t="n"/>
      <c r="D10" s="25" t="n"/>
      <c r="E10" s="31">
        <f>IF($B10="",0,IFERROR(INDEX(Assumptions!$B$8:$E$8,1,MATCH($B10,Assumptions!$B$4:$E$4,0)),0))</f>
        <v/>
      </c>
      <c r="F10" s="12">
        <f>IF($B10="",0,IFERROR(INDEX(Assumptions!$B$9:$E$9,1,MATCH($B10,Assumptions!$B$4:$E$4,0)),0))</f>
        <v/>
      </c>
      <c r="G10" s="32">
        <f>IF($B10="",0,IFERROR(IF($D10="",INDEX(Assumptions!$B$14:$E$19,MIN(6,ROUNDUP(($C10+G$5)/3,0)),MATCH($B10,Assumptions!$B$4:$E$4,0)),IF(G$5&lt;$D10,0,INDEX(Assumptions!$B$14:$E$19,MIN(6,ROUNDUP((G$5-$D10+1)/3,0)),MATCH($B10,Assumptions!$B$4:$E$4,0)))),0))</f>
        <v/>
      </c>
      <c r="H10" s="32">
        <f>IF($B10="",0,IFERROR(IF($D10="",INDEX(Assumptions!$B$14:$E$19,MIN(6,ROUNDUP(($C10+H$5)/3,0)),MATCH($B10,Assumptions!$B$4:$E$4,0)),IF(H$5&lt;$D10,0,INDEX(Assumptions!$B$14:$E$19,MIN(6,ROUNDUP((H$5-$D10+1)/3,0)),MATCH($B10,Assumptions!$B$4:$E$4,0)))),0))</f>
        <v/>
      </c>
      <c r="I10" s="32">
        <f>IF($B10="",0,IFERROR(IF($D10="",INDEX(Assumptions!$B$14:$E$19,MIN(6,ROUNDUP(($C10+I$5)/3,0)),MATCH($B10,Assumptions!$B$4:$E$4,0)),IF(I$5&lt;$D10,0,INDEX(Assumptions!$B$14:$E$19,MIN(6,ROUNDUP((I$5-$D10+1)/3,0)),MATCH($B10,Assumptions!$B$4:$E$4,0)))),0))</f>
        <v/>
      </c>
      <c r="J10" s="32">
        <f>IF($B10="",0,IFERROR(IF($D10="",INDEX(Assumptions!$B$14:$E$19,MIN(6,ROUNDUP(($C10+J$5)/3,0)),MATCH($B10,Assumptions!$B$4:$E$4,0)),IF(J$5&lt;$D10,0,INDEX(Assumptions!$B$14:$E$19,MIN(6,ROUNDUP((J$5-$D10+1)/3,0)),MATCH($B10,Assumptions!$B$4:$E$4,0)))),0))</f>
        <v/>
      </c>
      <c r="K10" s="32">
        <f>IF($B10="",0,IFERROR(IF($D10="",INDEX(Assumptions!$B$14:$E$19,MIN(6,ROUNDUP(($C10+K$5)/3,0)),MATCH($B10,Assumptions!$B$4:$E$4,0)),IF(K$5&lt;$D10,0,INDEX(Assumptions!$B$14:$E$19,MIN(6,ROUNDUP((K$5-$D10+1)/3,0)),MATCH($B10,Assumptions!$B$4:$E$4,0)))),0))</f>
        <v/>
      </c>
      <c r="L10" s="32">
        <f>IF($B10="",0,IFERROR(IF($D10="",INDEX(Assumptions!$B$14:$E$19,MIN(6,ROUNDUP(($C10+L$5)/3,0)),MATCH($B10,Assumptions!$B$4:$E$4,0)),IF(L$5&lt;$D10,0,INDEX(Assumptions!$B$14:$E$19,MIN(6,ROUNDUP((L$5-$D10+1)/3,0)),MATCH($B10,Assumptions!$B$4:$E$4,0)))),0))</f>
        <v/>
      </c>
      <c r="M10" s="32">
        <f>IF($B10="",0,IFERROR(IF($D10="",INDEX(Assumptions!$B$14:$E$19,MIN(6,ROUNDUP(($C10+M$5)/3,0)),MATCH($B10,Assumptions!$B$4:$E$4,0)),IF(M$5&lt;$D10,0,INDEX(Assumptions!$B$14:$E$19,MIN(6,ROUNDUP((M$5-$D10+1)/3,0)),MATCH($B10,Assumptions!$B$4:$E$4,0)))),0))</f>
        <v/>
      </c>
      <c r="N10" s="32">
        <f>IF($B10="",0,IFERROR(IF($D10="",INDEX(Assumptions!$B$14:$E$19,MIN(6,ROUNDUP(($C10+N$5)/3,0)),MATCH($B10,Assumptions!$B$4:$E$4,0)),IF(N$5&lt;$D10,0,INDEX(Assumptions!$B$14:$E$19,MIN(6,ROUNDUP((N$5-$D10+1)/3,0)),MATCH($B10,Assumptions!$B$4:$E$4,0)))),0))</f>
        <v/>
      </c>
      <c r="O10" s="32">
        <f>IF($B10="",0,IFERROR(IF($D10="",INDEX(Assumptions!$B$14:$E$19,MIN(6,ROUNDUP(($C10+O$5)/3,0)),MATCH($B10,Assumptions!$B$4:$E$4,0)),IF(O$5&lt;$D10,0,INDEX(Assumptions!$B$14:$E$19,MIN(6,ROUNDUP((O$5-$D10+1)/3,0)),MATCH($B10,Assumptions!$B$4:$E$4,0)))),0))</f>
        <v/>
      </c>
      <c r="P10" s="32">
        <f>IF($B10="",0,IFERROR(IF($D10="",INDEX(Assumptions!$B$14:$E$19,MIN(6,ROUNDUP(($C10+P$5)/3,0)),MATCH($B10,Assumptions!$B$4:$E$4,0)),IF(P$5&lt;$D10,0,INDEX(Assumptions!$B$14:$E$19,MIN(6,ROUNDUP((P$5-$D10+1)/3,0)),MATCH($B10,Assumptions!$B$4:$E$4,0)))),0))</f>
        <v/>
      </c>
      <c r="Q10" s="32">
        <f>IF($B10="",0,IFERROR(IF($D10="",INDEX(Assumptions!$B$14:$E$19,MIN(6,ROUNDUP(($C10+Q$5)/3,0)),MATCH($B10,Assumptions!$B$4:$E$4,0)),IF(Q$5&lt;$D10,0,INDEX(Assumptions!$B$14:$E$19,MIN(6,ROUNDUP((Q$5-$D10+1)/3,0)),MATCH($B10,Assumptions!$B$4:$E$4,0)))),0))</f>
        <v/>
      </c>
      <c r="R10" s="32">
        <f>IF($B10="",0,IFERROR(IF($D10="",INDEX(Assumptions!$B$14:$E$19,MIN(6,ROUNDUP(($C10+R$5)/3,0)),MATCH($B10,Assumptions!$B$4:$E$4,0)),IF(R$5&lt;$D10,0,INDEX(Assumptions!$B$14:$E$19,MIN(6,ROUNDUP((R$5-$D10+1)/3,0)),MATCH($B10,Assumptions!$B$4:$E$4,0)))),0))</f>
        <v/>
      </c>
      <c r="S10" s="32">
        <f>SUM(G10:R10)</f>
        <v/>
      </c>
      <c r="T10" s="11">
        <f>E10/12*F10*S10</f>
        <v/>
      </c>
      <c r="U10" s="11">
        <f>IF($B10="",0,IF($D10="",E10,E10*(13-MIN(12,MAX(1,$D10)))/12))</f>
        <v/>
      </c>
    </row>
    <row r="11">
      <c r="A11" s="20" t="n"/>
      <c r="B11" s="20" t="n"/>
      <c r="C11" s="25" t="n"/>
      <c r="D11" s="25" t="n"/>
      <c r="E11" s="31">
        <f>IF($B11="",0,IFERROR(INDEX(Assumptions!$B$8:$E$8,1,MATCH($B11,Assumptions!$B$4:$E$4,0)),0))</f>
        <v/>
      </c>
      <c r="F11" s="12">
        <f>IF($B11="",0,IFERROR(INDEX(Assumptions!$B$9:$E$9,1,MATCH($B11,Assumptions!$B$4:$E$4,0)),0))</f>
        <v/>
      </c>
      <c r="G11" s="32">
        <f>IF($B11="",0,IFERROR(IF($D11="",INDEX(Assumptions!$B$14:$E$19,MIN(6,ROUNDUP(($C11+G$5)/3,0)),MATCH($B11,Assumptions!$B$4:$E$4,0)),IF(G$5&lt;$D11,0,INDEX(Assumptions!$B$14:$E$19,MIN(6,ROUNDUP((G$5-$D11+1)/3,0)),MATCH($B11,Assumptions!$B$4:$E$4,0)))),0))</f>
        <v/>
      </c>
      <c r="H11" s="32">
        <f>IF($B11="",0,IFERROR(IF($D11="",INDEX(Assumptions!$B$14:$E$19,MIN(6,ROUNDUP(($C11+H$5)/3,0)),MATCH($B11,Assumptions!$B$4:$E$4,0)),IF(H$5&lt;$D11,0,INDEX(Assumptions!$B$14:$E$19,MIN(6,ROUNDUP((H$5-$D11+1)/3,0)),MATCH($B11,Assumptions!$B$4:$E$4,0)))),0))</f>
        <v/>
      </c>
      <c r="I11" s="32">
        <f>IF($B11="",0,IFERROR(IF($D11="",INDEX(Assumptions!$B$14:$E$19,MIN(6,ROUNDUP(($C11+I$5)/3,0)),MATCH($B11,Assumptions!$B$4:$E$4,0)),IF(I$5&lt;$D11,0,INDEX(Assumptions!$B$14:$E$19,MIN(6,ROUNDUP((I$5-$D11+1)/3,0)),MATCH($B11,Assumptions!$B$4:$E$4,0)))),0))</f>
        <v/>
      </c>
      <c r="J11" s="32">
        <f>IF($B11="",0,IFERROR(IF($D11="",INDEX(Assumptions!$B$14:$E$19,MIN(6,ROUNDUP(($C11+J$5)/3,0)),MATCH($B11,Assumptions!$B$4:$E$4,0)),IF(J$5&lt;$D11,0,INDEX(Assumptions!$B$14:$E$19,MIN(6,ROUNDUP((J$5-$D11+1)/3,0)),MATCH($B11,Assumptions!$B$4:$E$4,0)))),0))</f>
        <v/>
      </c>
      <c r="K11" s="32">
        <f>IF($B11="",0,IFERROR(IF($D11="",INDEX(Assumptions!$B$14:$E$19,MIN(6,ROUNDUP(($C11+K$5)/3,0)),MATCH($B11,Assumptions!$B$4:$E$4,0)),IF(K$5&lt;$D11,0,INDEX(Assumptions!$B$14:$E$19,MIN(6,ROUNDUP((K$5-$D11+1)/3,0)),MATCH($B11,Assumptions!$B$4:$E$4,0)))),0))</f>
        <v/>
      </c>
      <c r="L11" s="32">
        <f>IF($B11="",0,IFERROR(IF($D11="",INDEX(Assumptions!$B$14:$E$19,MIN(6,ROUNDUP(($C11+L$5)/3,0)),MATCH($B11,Assumptions!$B$4:$E$4,0)),IF(L$5&lt;$D11,0,INDEX(Assumptions!$B$14:$E$19,MIN(6,ROUNDUP((L$5-$D11+1)/3,0)),MATCH($B11,Assumptions!$B$4:$E$4,0)))),0))</f>
        <v/>
      </c>
      <c r="M11" s="32">
        <f>IF($B11="",0,IFERROR(IF($D11="",INDEX(Assumptions!$B$14:$E$19,MIN(6,ROUNDUP(($C11+M$5)/3,0)),MATCH($B11,Assumptions!$B$4:$E$4,0)),IF(M$5&lt;$D11,0,INDEX(Assumptions!$B$14:$E$19,MIN(6,ROUNDUP((M$5-$D11+1)/3,0)),MATCH($B11,Assumptions!$B$4:$E$4,0)))),0))</f>
        <v/>
      </c>
      <c r="N11" s="32">
        <f>IF($B11="",0,IFERROR(IF($D11="",INDEX(Assumptions!$B$14:$E$19,MIN(6,ROUNDUP(($C11+N$5)/3,0)),MATCH($B11,Assumptions!$B$4:$E$4,0)),IF(N$5&lt;$D11,0,INDEX(Assumptions!$B$14:$E$19,MIN(6,ROUNDUP((N$5-$D11+1)/3,0)),MATCH($B11,Assumptions!$B$4:$E$4,0)))),0))</f>
        <v/>
      </c>
      <c r="O11" s="32">
        <f>IF($B11="",0,IFERROR(IF($D11="",INDEX(Assumptions!$B$14:$E$19,MIN(6,ROUNDUP(($C11+O$5)/3,0)),MATCH($B11,Assumptions!$B$4:$E$4,0)),IF(O$5&lt;$D11,0,INDEX(Assumptions!$B$14:$E$19,MIN(6,ROUNDUP((O$5-$D11+1)/3,0)),MATCH($B11,Assumptions!$B$4:$E$4,0)))),0))</f>
        <v/>
      </c>
      <c r="P11" s="32">
        <f>IF($B11="",0,IFERROR(IF($D11="",INDEX(Assumptions!$B$14:$E$19,MIN(6,ROUNDUP(($C11+P$5)/3,0)),MATCH($B11,Assumptions!$B$4:$E$4,0)),IF(P$5&lt;$D11,0,INDEX(Assumptions!$B$14:$E$19,MIN(6,ROUNDUP((P$5-$D11+1)/3,0)),MATCH($B11,Assumptions!$B$4:$E$4,0)))),0))</f>
        <v/>
      </c>
      <c r="Q11" s="32">
        <f>IF($B11="",0,IFERROR(IF($D11="",INDEX(Assumptions!$B$14:$E$19,MIN(6,ROUNDUP(($C11+Q$5)/3,0)),MATCH($B11,Assumptions!$B$4:$E$4,0)),IF(Q$5&lt;$D11,0,INDEX(Assumptions!$B$14:$E$19,MIN(6,ROUNDUP((Q$5-$D11+1)/3,0)),MATCH($B11,Assumptions!$B$4:$E$4,0)))),0))</f>
        <v/>
      </c>
      <c r="R11" s="32">
        <f>IF($B11="",0,IFERROR(IF($D11="",INDEX(Assumptions!$B$14:$E$19,MIN(6,ROUNDUP(($C11+R$5)/3,0)),MATCH($B11,Assumptions!$B$4:$E$4,0)),IF(R$5&lt;$D11,0,INDEX(Assumptions!$B$14:$E$19,MIN(6,ROUNDUP((R$5-$D11+1)/3,0)),MATCH($B11,Assumptions!$B$4:$E$4,0)))),0))</f>
        <v/>
      </c>
      <c r="S11" s="32">
        <f>SUM(G11:R11)</f>
        <v/>
      </c>
      <c r="T11" s="11">
        <f>E11/12*F11*S11</f>
        <v/>
      </c>
      <c r="U11" s="11">
        <f>IF($B11="",0,IF($D11="",E11,E11*(13-MIN(12,MAX(1,$D11)))/12))</f>
        <v/>
      </c>
    </row>
    <row r="12">
      <c r="A12" s="20" t="n"/>
      <c r="B12" s="20" t="n"/>
      <c r="C12" s="25" t="n"/>
      <c r="D12" s="25" t="n"/>
      <c r="E12" s="31">
        <f>IF($B12="",0,IFERROR(INDEX(Assumptions!$B$8:$E$8,1,MATCH($B12,Assumptions!$B$4:$E$4,0)),0))</f>
        <v/>
      </c>
      <c r="F12" s="12">
        <f>IF($B12="",0,IFERROR(INDEX(Assumptions!$B$9:$E$9,1,MATCH($B12,Assumptions!$B$4:$E$4,0)),0))</f>
        <v/>
      </c>
      <c r="G12" s="32">
        <f>IF($B12="",0,IFERROR(IF($D12="",INDEX(Assumptions!$B$14:$E$19,MIN(6,ROUNDUP(($C12+G$5)/3,0)),MATCH($B12,Assumptions!$B$4:$E$4,0)),IF(G$5&lt;$D12,0,INDEX(Assumptions!$B$14:$E$19,MIN(6,ROUNDUP((G$5-$D12+1)/3,0)),MATCH($B12,Assumptions!$B$4:$E$4,0)))),0))</f>
        <v/>
      </c>
      <c r="H12" s="32">
        <f>IF($B12="",0,IFERROR(IF($D12="",INDEX(Assumptions!$B$14:$E$19,MIN(6,ROUNDUP(($C12+H$5)/3,0)),MATCH($B12,Assumptions!$B$4:$E$4,0)),IF(H$5&lt;$D12,0,INDEX(Assumptions!$B$14:$E$19,MIN(6,ROUNDUP((H$5-$D12+1)/3,0)),MATCH($B12,Assumptions!$B$4:$E$4,0)))),0))</f>
        <v/>
      </c>
      <c r="I12" s="32">
        <f>IF($B12="",0,IFERROR(IF($D12="",INDEX(Assumptions!$B$14:$E$19,MIN(6,ROUNDUP(($C12+I$5)/3,0)),MATCH($B12,Assumptions!$B$4:$E$4,0)),IF(I$5&lt;$D12,0,INDEX(Assumptions!$B$14:$E$19,MIN(6,ROUNDUP((I$5-$D12+1)/3,0)),MATCH($B12,Assumptions!$B$4:$E$4,0)))),0))</f>
        <v/>
      </c>
      <c r="J12" s="32">
        <f>IF($B12="",0,IFERROR(IF($D12="",INDEX(Assumptions!$B$14:$E$19,MIN(6,ROUNDUP(($C12+J$5)/3,0)),MATCH($B12,Assumptions!$B$4:$E$4,0)),IF(J$5&lt;$D12,0,INDEX(Assumptions!$B$14:$E$19,MIN(6,ROUNDUP((J$5-$D12+1)/3,0)),MATCH($B12,Assumptions!$B$4:$E$4,0)))),0))</f>
        <v/>
      </c>
      <c r="K12" s="32">
        <f>IF($B12="",0,IFERROR(IF($D12="",INDEX(Assumptions!$B$14:$E$19,MIN(6,ROUNDUP(($C12+K$5)/3,0)),MATCH($B12,Assumptions!$B$4:$E$4,0)),IF(K$5&lt;$D12,0,INDEX(Assumptions!$B$14:$E$19,MIN(6,ROUNDUP((K$5-$D12+1)/3,0)),MATCH($B12,Assumptions!$B$4:$E$4,0)))),0))</f>
        <v/>
      </c>
      <c r="L12" s="32">
        <f>IF($B12="",0,IFERROR(IF($D12="",INDEX(Assumptions!$B$14:$E$19,MIN(6,ROUNDUP(($C12+L$5)/3,0)),MATCH($B12,Assumptions!$B$4:$E$4,0)),IF(L$5&lt;$D12,0,INDEX(Assumptions!$B$14:$E$19,MIN(6,ROUNDUP((L$5-$D12+1)/3,0)),MATCH($B12,Assumptions!$B$4:$E$4,0)))),0))</f>
        <v/>
      </c>
      <c r="M12" s="32">
        <f>IF($B12="",0,IFERROR(IF($D12="",INDEX(Assumptions!$B$14:$E$19,MIN(6,ROUNDUP(($C12+M$5)/3,0)),MATCH($B12,Assumptions!$B$4:$E$4,0)),IF(M$5&lt;$D12,0,INDEX(Assumptions!$B$14:$E$19,MIN(6,ROUNDUP((M$5-$D12+1)/3,0)),MATCH($B12,Assumptions!$B$4:$E$4,0)))),0))</f>
        <v/>
      </c>
      <c r="N12" s="32">
        <f>IF($B12="",0,IFERROR(IF($D12="",INDEX(Assumptions!$B$14:$E$19,MIN(6,ROUNDUP(($C12+N$5)/3,0)),MATCH($B12,Assumptions!$B$4:$E$4,0)),IF(N$5&lt;$D12,0,INDEX(Assumptions!$B$14:$E$19,MIN(6,ROUNDUP((N$5-$D12+1)/3,0)),MATCH($B12,Assumptions!$B$4:$E$4,0)))),0))</f>
        <v/>
      </c>
      <c r="O12" s="32">
        <f>IF($B12="",0,IFERROR(IF($D12="",INDEX(Assumptions!$B$14:$E$19,MIN(6,ROUNDUP(($C12+O$5)/3,0)),MATCH($B12,Assumptions!$B$4:$E$4,0)),IF(O$5&lt;$D12,0,INDEX(Assumptions!$B$14:$E$19,MIN(6,ROUNDUP((O$5-$D12+1)/3,0)),MATCH($B12,Assumptions!$B$4:$E$4,0)))),0))</f>
        <v/>
      </c>
      <c r="P12" s="32">
        <f>IF($B12="",0,IFERROR(IF($D12="",INDEX(Assumptions!$B$14:$E$19,MIN(6,ROUNDUP(($C12+P$5)/3,0)),MATCH($B12,Assumptions!$B$4:$E$4,0)),IF(P$5&lt;$D12,0,INDEX(Assumptions!$B$14:$E$19,MIN(6,ROUNDUP((P$5-$D12+1)/3,0)),MATCH($B12,Assumptions!$B$4:$E$4,0)))),0))</f>
        <v/>
      </c>
      <c r="Q12" s="32">
        <f>IF($B12="",0,IFERROR(IF($D12="",INDEX(Assumptions!$B$14:$E$19,MIN(6,ROUNDUP(($C12+Q$5)/3,0)),MATCH($B12,Assumptions!$B$4:$E$4,0)),IF(Q$5&lt;$D12,0,INDEX(Assumptions!$B$14:$E$19,MIN(6,ROUNDUP((Q$5-$D12+1)/3,0)),MATCH($B12,Assumptions!$B$4:$E$4,0)))),0))</f>
        <v/>
      </c>
      <c r="R12" s="32">
        <f>IF($B12="",0,IFERROR(IF($D12="",INDEX(Assumptions!$B$14:$E$19,MIN(6,ROUNDUP(($C12+R$5)/3,0)),MATCH($B12,Assumptions!$B$4:$E$4,0)),IF(R$5&lt;$D12,0,INDEX(Assumptions!$B$14:$E$19,MIN(6,ROUNDUP((R$5-$D12+1)/3,0)),MATCH($B12,Assumptions!$B$4:$E$4,0)))),0))</f>
        <v/>
      </c>
      <c r="S12" s="32">
        <f>SUM(G12:R12)</f>
        <v/>
      </c>
      <c r="T12" s="11">
        <f>E12/12*F12*S12</f>
        <v/>
      </c>
      <c r="U12" s="11">
        <f>IF($B12="",0,IF($D12="",E12,E12*(13-MIN(12,MAX(1,$D12)))/12))</f>
        <v/>
      </c>
    </row>
    <row r="13">
      <c r="A13" s="20" t="n"/>
      <c r="B13" s="20" t="n"/>
      <c r="C13" s="25" t="n"/>
      <c r="D13" s="25" t="n"/>
      <c r="E13" s="31">
        <f>IF($B13="",0,IFERROR(INDEX(Assumptions!$B$8:$E$8,1,MATCH($B13,Assumptions!$B$4:$E$4,0)),0))</f>
        <v/>
      </c>
      <c r="F13" s="12">
        <f>IF($B13="",0,IFERROR(INDEX(Assumptions!$B$9:$E$9,1,MATCH($B13,Assumptions!$B$4:$E$4,0)),0))</f>
        <v/>
      </c>
      <c r="G13" s="32">
        <f>IF($B13="",0,IFERROR(IF($D13="",INDEX(Assumptions!$B$14:$E$19,MIN(6,ROUNDUP(($C13+G$5)/3,0)),MATCH($B13,Assumptions!$B$4:$E$4,0)),IF(G$5&lt;$D13,0,INDEX(Assumptions!$B$14:$E$19,MIN(6,ROUNDUP((G$5-$D13+1)/3,0)),MATCH($B13,Assumptions!$B$4:$E$4,0)))),0))</f>
        <v/>
      </c>
      <c r="H13" s="32">
        <f>IF($B13="",0,IFERROR(IF($D13="",INDEX(Assumptions!$B$14:$E$19,MIN(6,ROUNDUP(($C13+H$5)/3,0)),MATCH($B13,Assumptions!$B$4:$E$4,0)),IF(H$5&lt;$D13,0,INDEX(Assumptions!$B$14:$E$19,MIN(6,ROUNDUP((H$5-$D13+1)/3,0)),MATCH($B13,Assumptions!$B$4:$E$4,0)))),0))</f>
        <v/>
      </c>
      <c r="I13" s="32">
        <f>IF($B13="",0,IFERROR(IF($D13="",INDEX(Assumptions!$B$14:$E$19,MIN(6,ROUNDUP(($C13+I$5)/3,0)),MATCH($B13,Assumptions!$B$4:$E$4,0)),IF(I$5&lt;$D13,0,INDEX(Assumptions!$B$14:$E$19,MIN(6,ROUNDUP((I$5-$D13+1)/3,0)),MATCH($B13,Assumptions!$B$4:$E$4,0)))),0))</f>
        <v/>
      </c>
      <c r="J13" s="32">
        <f>IF($B13="",0,IFERROR(IF($D13="",INDEX(Assumptions!$B$14:$E$19,MIN(6,ROUNDUP(($C13+J$5)/3,0)),MATCH($B13,Assumptions!$B$4:$E$4,0)),IF(J$5&lt;$D13,0,INDEX(Assumptions!$B$14:$E$19,MIN(6,ROUNDUP((J$5-$D13+1)/3,0)),MATCH($B13,Assumptions!$B$4:$E$4,0)))),0))</f>
        <v/>
      </c>
      <c r="K13" s="32">
        <f>IF($B13="",0,IFERROR(IF($D13="",INDEX(Assumptions!$B$14:$E$19,MIN(6,ROUNDUP(($C13+K$5)/3,0)),MATCH($B13,Assumptions!$B$4:$E$4,0)),IF(K$5&lt;$D13,0,INDEX(Assumptions!$B$14:$E$19,MIN(6,ROUNDUP((K$5-$D13+1)/3,0)),MATCH($B13,Assumptions!$B$4:$E$4,0)))),0))</f>
        <v/>
      </c>
      <c r="L13" s="32">
        <f>IF($B13="",0,IFERROR(IF($D13="",INDEX(Assumptions!$B$14:$E$19,MIN(6,ROUNDUP(($C13+L$5)/3,0)),MATCH($B13,Assumptions!$B$4:$E$4,0)),IF(L$5&lt;$D13,0,INDEX(Assumptions!$B$14:$E$19,MIN(6,ROUNDUP((L$5-$D13+1)/3,0)),MATCH($B13,Assumptions!$B$4:$E$4,0)))),0))</f>
        <v/>
      </c>
      <c r="M13" s="32">
        <f>IF($B13="",0,IFERROR(IF($D13="",INDEX(Assumptions!$B$14:$E$19,MIN(6,ROUNDUP(($C13+M$5)/3,0)),MATCH($B13,Assumptions!$B$4:$E$4,0)),IF(M$5&lt;$D13,0,INDEX(Assumptions!$B$14:$E$19,MIN(6,ROUNDUP((M$5-$D13+1)/3,0)),MATCH($B13,Assumptions!$B$4:$E$4,0)))),0))</f>
        <v/>
      </c>
      <c r="N13" s="32">
        <f>IF($B13="",0,IFERROR(IF($D13="",INDEX(Assumptions!$B$14:$E$19,MIN(6,ROUNDUP(($C13+N$5)/3,0)),MATCH($B13,Assumptions!$B$4:$E$4,0)),IF(N$5&lt;$D13,0,INDEX(Assumptions!$B$14:$E$19,MIN(6,ROUNDUP((N$5-$D13+1)/3,0)),MATCH($B13,Assumptions!$B$4:$E$4,0)))),0))</f>
        <v/>
      </c>
      <c r="O13" s="32">
        <f>IF($B13="",0,IFERROR(IF($D13="",INDEX(Assumptions!$B$14:$E$19,MIN(6,ROUNDUP(($C13+O$5)/3,0)),MATCH($B13,Assumptions!$B$4:$E$4,0)),IF(O$5&lt;$D13,0,INDEX(Assumptions!$B$14:$E$19,MIN(6,ROUNDUP((O$5-$D13+1)/3,0)),MATCH($B13,Assumptions!$B$4:$E$4,0)))),0))</f>
        <v/>
      </c>
      <c r="P13" s="32">
        <f>IF($B13="",0,IFERROR(IF($D13="",INDEX(Assumptions!$B$14:$E$19,MIN(6,ROUNDUP(($C13+P$5)/3,0)),MATCH($B13,Assumptions!$B$4:$E$4,0)),IF(P$5&lt;$D13,0,INDEX(Assumptions!$B$14:$E$19,MIN(6,ROUNDUP((P$5-$D13+1)/3,0)),MATCH($B13,Assumptions!$B$4:$E$4,0)))),0))</f>
        <v/>
      </c>
      <c r="Q13" s="32">
        <f>IF($B13="",0,IFERROR(IF($D13="",INDEX(Assumptions!$B$14:$E$19,MIN(6,ROUNDUP(($C13+Q$5)/3,0)),MATCH($B13,Assumptions!$B$4:$E$4,0)),IF(Q$5&lt;$D13,0,INDEX(Assumptions!$B$14:$E$19,MIN(6,ROUNDUP((Q$5-$D13+1)/3,0)),MATCH($B13,Assumptions!$B$4:$E$4,0)))),0))</f>
        <v/>
      </c>
      <c r="R13" s="32">
        <f>IF($B13="",0,IFERROR(IF($D13="",INDEX(Assumptions!$B$14:$E$19,MIN(6,ROUNDUP(($C13+R$5)/3,0)),MATCH($B13,Assumptions!$B$4:$E$4,0)),IF(R$5&lt;$D13,0,INDEX(Assumptions!$B$14:$E$19,MIN(6,ROUNDUP((R$5-$D13+1)/3,0)),MATCH($B13,Assumptions!$B$4:$E$4,0)))),0))</f>
        <v/>
      </c>
      <c r="S13" s="32">
        <f>SUM(G13:R13)</f>
        <v/>
      </c>
      <c r="T13" s="11">
        <f>E13/12*F13*S13</f>
        <v/>
      </c>
      <c r="U13" s="11">
        <f>IF($B13="",0,IF($D13="",E13,E13*(13-MIN(12,MAX(1,$D13)))/12))</f>
        <v/>
      </c>
    </row>
    <row r="14">
      <c r="A14" s="20" t="n"/>
      <c r="B14" s="20" t="n"/>
      <c r="C14" s="25" t="n"/>
      <c r="D14" s="25" t="n"/>
      <c r="E14" s="31">
        <f>IF($B14="",0,IFERROR(INDEX(Assumptions!$B$8:$E$8,1,MATCH($B14,Assumptions!$B$4:$E$4,0)),0))</f>
        <v/>
      </c>
      <c r="F14" s="12">
        <f>IF($B14="",0,IFERROR(INDEX(Assumptions!$B$9:$E$9,1,MATCH($B14,Assumptions!$B$4:$E$4,0)),0))</f>
        <v/>
      </c>
      <c r="G14" s="32">
        <f>IF($B14="",0,IFERROR(IF($D14="",INDEX(Assumptions!$B$14:$E$19,MIN(6,ROUNDUP(($C14+G$5)/3,0)),MATCH($B14,Assumptions!$B$4:$E$4,0)),IF(G$5&lt;$D14,0,INDEX(Assumptions!$B$14:$E$19,MIN(6,ROUNDUP((G$5-$D14+1)/3,0)),MATCH($B14,Assumptions!$B$4:$E$4,0)))),0))</f>
        <v/>
      </c>
      <c r="H14" s="32">
        <f>IF($B14="",0,IFERROR(IF($D14="",INDEX(Assumptions!$B$14:$E$19,MIN(6,ROUNDUP(($C14+H$5)/3,0)),MATCH($B14,Assumptions!$B$4:$E$4,0)),IF(H$5&lt;$D14,0,INDEX(Assumptions!$B$14:$E$19,MIN(6,ROUNDUP((H$5-$D14+1)/3,0)),MATCH($B14,Assumptions!$B$4:$E$4,0)))),0))</f>
        <v/>
      </c>
      <c r="I14" s="32">
        <f>IF($B14="",0,IFERROR(IF($D14="",INDEX(Assumptions!$B$14:$E$19,MIN(6,ROUNDUP(($C14+I$5)/3,0)),MATCH($B14,Assumptions!$B$4:$E$4,0)),IF(I$5&lt;$D14,0,INDEX(Assumptions!$B$14:$E$19,MIN(6,ROUNDUP((I$5-$D14+1)/3,0)),MATCH($B14,Assumptions!$B$4:$E$4,0)))),0))</f>
        <v/>
      </c>
      <c r="J14" s="32">
        <f>IF($B14="",0,IFERROR(IF($D14="",INDEX(Assumptions!$B$14:$E$19,MIN(6,ROUNDUP(($C14+J$5)/3,0)),MATCH($B14,Assumptions!$B$4:$E$4,0)),IF(J$5&lt;$D14,0,INDEX(Assumptions!$B$14:$E$19,MIN(6,ROUNDUP((J$5-$D14+1)/3,0)),MATCH($B14,Assumptions!$B$4:$E$4,0)))),0))</f>
        <v/>
      </c>
      <c r="K14" s="32">
        <f>IF($B14="",0,IFERROR(IF($D14="",INDEX(Assumptions!$B$14:$E$19,MIN(6,ROUNDUP(($C14+K$5)/3,0)),MATCH($B14,Assumptions!$B$4:$E$4,0)),IF(K$5&lt;$D14,0,INDEX(Assumptions!$B$14:$E$19,MIN(6,ROUNDUP((K$5-$D14+1)/3,0)),MATCH($B14,Assumptions!$B$4:$E$4,0)))),0))</f>
        <v/>
      </c>
      <c r="L14" s="32">
        <f>IF($B14="",0,IFERROR(IF($D14="",INDEX(Assumptions!$B$14:$E$19,MIN(6,ROUNDUP(($C14+L$5)/3,0)),MATCH($B14,Assumptions!$B$4:$E$4,0)),IF(L$5&lt;$D14,0,INDEX(Assumptions!$B$14:$E$19,MIN(6,ROUNDUP((L$5-$D14+1)/3,0)),MATCH($B14,Assumptions!$B$4:$E$4,0)))),0))</f>
        <v/>
      </c>
      <c r="M14" s="32">
        <f>IF($B14="",0,IFERROR(IF($D14="",INDEX(Assumptions!$B$14:$E$19,MIN(6,ROUNDUP(($C14+M$5)/3,0)),MATCH($B14,Assumptions!$B$4:$E$4,0)),IF(M$5&lt;$D14,0,INDEX(Assumptions!$B$14:$E$19,MIN(6,ROUNDUP((M$5-$D14+1)/3,0)),MATCH($B14,Assumptions!$B$4:$E$4,0)))),0))</f>
        <v/>
      </c>
      <c r="N14" s="32">
        <f>IF($B14="",0,IFERROR(IF($D14="",INDEX(Assumptions!$B$14:$E$19,MIN(6,ROUNDUP(($C14+N$5)/3,0)),MATCH($B14,Assumptions!$B$4:$E$4,0)),IF(N$5&lt;$D14,0,INDEX(Assumptions!$B$14:$E$19,MIN(6,ROUNDUP((N$5-$D14+1)/3,0)),MATCH($B14,Assumptions!$B$4:$E$4,0)))),0))</f>
        <v/>
      </c>
      <c r="O14" s="32">
        <f>IF($B14="",0,IFERROR(IF($D14="",INDEX(Assumptions!$B$14:$E$19,MIN(6,ROUNDUP(($C14+O$5)/3,0)),MATCH($B14,Assumptions!$B$4:$E$4,0)),IF(O$5&lt;$D14,0,INDEX(Assumptions!$B$14:$E$19,MIN(6,ROUNDUP((O$5-$D14+1)/3,0)),MATCH($B14,Assumptions!$B$4:$E$4,0)))),0))</f>
        <v/>
      </c>
      <c r="P14" s="32">
        <f>IF($B14="",0,IFERROR(IF($D14="",INDEX(Assumptions!$B$14:$E$19,MIN(6,ROUNDUP(($C14+P$5)/3,0)),MATCH($B14,Assumptions!$B$4:$E$4,0)),IF(P$5&lt;$D14,0,INDEX(Assumptions!$B$14:$E$19,MIN(6,ROUNDUP((P$5-$D14+1)/3,0)),MATCH($B14,Assumptions!$B$4:$E$4,0)))),0))</f>
        <v/>
      </c>
      <c r="Q14" s="32">
        <f>IF($B14="",0,IFERROR(IF($D14="",INDEX(Assumptions!$B$14:$E$19,MIN(6,ROUNDUP(($C14+Q$5)/3,0)),MATCH($B14,Assumptions!$B$4:$E$4,0)),IF(Q$5&lt;$D14,0,INDEX(Assumptions!$B$14:$E$19,MIN(6,ROUNDUP((Q$5-$D14+1)/3,0)),MATCH($B14,Assumptions!$B$4:$E$4,0)))),0))</f>
        <v/>
      </c>
      <c r="R14" s="32">
        <f>IF($B14="",0,IFERROR(IF($D14="",INDEX(Assumptions!$B$14:$E$19,MIN(6,ROUNDUP(($C14+R$5)/3,0)),MATCH($B14,Assumptions!$B$4:$E$4,0)),IF(R$5&lt;$D14,0,INDEX(Assumptions!$B$14:$E$19,MIN(6,ROUNDUP((R$5-$D14+1)/3,0)),MATCH($B14,Assumptions!$B$4:$E$4,0)))),0))</f>
        <v/>
      </c>
      <c r="S14" s="32">
        <f>SUM(G14:R14)</f>
        <v/>
      </c>
      <c r="T14" s="11">
        <f>E14/12*F14*S14</f>
        <v/>
      </c>
      <c r="U14" s="11">
        <f>IF($B14="",0,IF($D14="",E14,E14*(13-MIN(12,MAX(1,$D14)))/12))</f>
        <v/>
      </c>
    </row>
    <row r="15">
      <c r="A15" s="20" t="n"/>
      <c r="B15" s="20" t="n"/>
      <c r="C15" s="25" t="n"/>
      <c r="D15" s="25" t="n"/>
      <c r="E15" s="31">
        <f>IF($B15="",0,IFERROR(INDEX(Assumptions!$B$8:$E$8,1,MATCH($B15,Assumptions!$B$4:$E$4,0)),0))</f>
        <v/>
      </c>
      <c r="F15" s="12">
        <f>IF($B15="",0,IFERROR(INDEX(Assumptions!$B$9:$E$9,1,MATCH($B15,Assumptions!$B$4:$E$4,0)),0))</f>
        <v/>
      </c>
      <c r="G15" s="32">
        <f>IF($B15="",0,IFERROR(IF($D15="",INDEX(Assumptions!$B$14:$E$19,MIN(6,ROUNDUP(($C15+G$5)/3,0)),MATCH($B15,Assumptions!$B$4:$E$4,0)),IF(G$5&lt;$D15,0,INDEX(Assumptions!$B$14:$E$19,MIN(6,ROUNDUP((G$5-$D15+1)/3,0)),MATCH($B15,Assumptions!$B$4:$E$4,0)))),0))</f>
        <v/>
      </c>
      <c r="H15" s="32">
        <f>IF($B15="",0,IFERROR(IF($D15="",INDEX(Assumptions!$B$14:$E$19,MIN(6,ROUNDUP(($C15+H$5)/3,0)),MATCH($B15,Assumptions!$B$4:$E$4,0)),IF(H$5&lt;$D15,0,INDEX(Assumptions!$B$14:$E$19,MIN(6,ROUNDUP((H$5-$D15+1)/3,0)),MATCH($B15,Assumptions!$B$4:$E$4,0)))),0))</f>
        <v/>
      </c>
      <c r="I15" s="32">
        <f>IF($B15="",0,IFERROR(IF($D15="",INDEX(Assumptions!$B$14:$E$19,MIN(6,ROUNDUP(($C15+I$5)/3,0)),MATCH($B15,Assumptions!$B$4:$E$4,0)),IF(I$5&lt;$D15,0,INDEX(Assumptions!$B$14:$E$19,MIN(6,ROUNDUP((I$5-$D15+1)/3,0)),MATCH($B15,Assumptions!$B$4:$E$4,0)))),0))</f>
        <v/>
      </c>
      <c r="J15" s="32">
        <f>IF($B15="",0,IFERROR(IF($D15="",INDEX(Assumptions!$B$14:$E$19,MIN(6,ROUNDUP(($C15+J$5)/3,0)),MATCH($B15,Assumptions!$B$4:$E$4,0)),IF(J$5&lt;$D15,0,INDEX(Assumptions!$B$14:$E$19,MIN(6,ROUNDUP((J$5-$D15+1)/3,0)),MATCH($B15,Assumptions!$B$4:$E$4,0)))),0))</f>
        <v/>
      </c>
      <c r="K15" s="32">
        <f>IF($B15="",0,IFERROR(IF($D15="",INDEX(Assumptions!$B$14:$E$19,MIN(6,ROUNDUP(($C15+K$5)/3,0)),MATCH($B15,Assumptions!$B$4:$E$4,0)),IF(K$5&lt;$D15,0,INDEX(Assumptions!$B$14:$E$19,MIN(6,ROUNDUP((K$5-$D15+1)/3,0)),MATCH($B15,Assumptions!$B$4:$E$4,0)))),0))</f>
        <v/>
      </c>
      <c r="L15" s="32">
        <f>IF($B15="",0,IFERROR(IF($D15="",INDEX(Assumptions!$B$14:$E$19,MIN(6,ROUNDUP(($C15+L$5)/3,0)),MATCH($B15,Assumptions!$B$4:$E$4,0)),IF(L$5&lt;$D15,0,INDEX(Assumptions!$B$14:$E$19,MIN(6,ROUNDUP((L$5-$D15+1)/3,0)),MATCH($B15,Assumptions!$B$4:$E$4,0)))),0))</f>
        <v/>
      </c>
      <c r="M15" s="32">
        <f>IF($B15="",0,IFERROR(IF($D15="",INDEX(Assumptions!$B$14:$E$19,MIN(6,ROUNDUP(($C15+M$5)/3,0)),MATCH($B15,Assumptions!$B$4:$E$4,0)),IF(M$5&lt;$D15,0,INDEX(Assumptions!$B$14:$E$19,MIN(6,ROUNDUP((M$5-$D15+1)/3,0)),MATCH($B15,Assumptions!$B$4:$E$4,0)))),0))</f>
        <v/>
      </c>
      <c r="N15" s="32">
        <f>IF($B15="",0,IFERROR(IF($D15="",INDEX(Assumptions!$B$14:$E$19,MIN(6,ROUNDUP(($C15+N$5)/3,0)),MATCH($B15,Assumptions!$B$4:$E$4,0)),IF(N$5&lt;$D15,0,INDEX(Assumptions!$B$14:$E$19,MIN(6,ROUNDUP((N$5-$D15+1)/3,0)),MATCH($B15,Assumptions!$B$4:$E$4,0)))),0))</f>
        <v/>
      </c>
      <c r="O15" s="32">
        <f>IF($B15="",0,IFERROR(IF($D15="",INDEX(Assumptions!$B$14:$E$19,MIN(6,ROUNDUP(($C15+O$5)/3,0)),MATCH($B15,Assumptions!$B$4:$E$4,0)),IF(O$5&lt;$D15,0,INDEX(Assumptions!$B$14:$E$19,MIN(6,ROUNDUP((O$5-$D15+1)/3,0)),MATCH($B15,Assumptions!$B$4:$E$4,0)))),0))</f>
        <v/>
      </c>
      <c r="P15" s="32">
        <f>IF($B15="",0,IFERROR(IF($D15="",INDEX(Assumptions!$B$14:$E$19,MIN(6,ROUNDUP(($C15+P$5)/3,0)),MATCH($B15,Assumptions!$B$4:$E$4,0)),IF(P$5&lt;$D15,0,INDEX(Assumptions!$B$14:$E$19,MIN(6,ROUNDUP((P$5-$D15+1)/3,0)),MATCH($B15,Assumptions!$B$4:$E$4,0)))),0))</f>
        <v/>
      </c>
      <c r="Q15" s="32">
        <f>IF($B15="",0,IFERROR(IF($D15="",INDEX(Assumptions!$B$14:$E$19,MIN(6,ROUNDUP(($C15+Q$5)/3,0)),MATCH($B15,Assumptions!$B$4:$E$4,0)),IF(Q$5&lt;$D15,0,INDEX(Assumptions!$B$14:$E$19,MIN(6,ROUNDUP((Q$5-$D15+1)/3,0)),MATCH($B15,Assumptions!$B$4:$E$4,0)))),0))</f>
        <v/>
      </c>
      <c r="R15" s="32">
        <f>IF($B15="",0,IFERROR(IF($D15="",INDEX(Assumptions!$B$14:$E$19,MIN(6,ROUNDUP(($C15+R$5)/3,0)),MATCH($B15,Assumptions!$B$4:$E$4,0)),IF(R$5&lt;$D15,0,INDEX(Assumptions!$B$14:$E$19,MIN(6,ROUNDUP((R$5-$D15+1)/3,0)),MATCH($B15,Assumptions!$B$4:$E$4,0)))),0))</f>
        <v/>
      </c>
      <c r="S15" s="32">
        <f>SUM(G15:R15)</f>
        <v/>
      </c>
      <c r="T15" s="11">
        <f>E15/12*F15*S15</f>
        <v/>
      </c>
      <c r="U15" s="11">
        <f>IF($B15="",0,IF($D15="",E15,E15*(13-MIN(12,MAX(1,$D15)))/12))</f>
        <v/>
      </c>
    </row>
    <row r="16">
      <c r="A16" s="20" t="n"/>
      <c r="B16" s="20" t="n"/>
      <c r="C16" s="25" t="n"/>
      <c r="D16" s="25" t="n"/>
      <c r="E16" s="31">
        <f>IF($B16="",0,IFERROR(INDEX(Assumptions!$B$8:$E$8,1,MATCH($B16,Assumptions!$B$4:$E$4,0)),0))</f>
        <v/>
      </c>
      <c r="F16" s="12">
        <f>IF($B16="",0,IFERROR(INDEX(Assumptions!$B$9:$E$9,1,MATCH($B16,Assumptions!$B$4:$E$4,0)),0))</f>
        <v/>
      </c>
      <c r="G16" s="32">
        <f>IF($B16="",0,IFERROR(IF($D16="",INDEX(Assumptions!$B$14:$E$19,MIN(6,ROUNDUP(($C16+G$5)/3,0)),MATCH($B16,Assumptions!$B$4:$E$4,0)),IF(G$5&lt;$D16,0,INDEX(Assumptions!$B$14:$E$19,MIN(6,ROUNDUP((G$5-$D16+1)/3,0)),MATCH($B16,Assumptions!$B$4:$E$4,0)))),0))</f>
        <v/>
      </c>
      <c r="H16" s="32">
        <f>IF($B16="",0,IFERROR(IF($D16="",INDEX(Assumptions!$B$14:$E$19,MIN(6,ROUNDUP(($C16+H$5)/3,0)),MATCH($B16,Assumptions!$B$4:$E$4,0)),IF(H$5&lt;$D16,0,INDEX(Assumptions!$B$14:$E$19,MIN(6,ROUNDUP((H$5-$D16+1)/3,0)),MATCH($B16,Assumptions!$B$4:$E$4,0)))),0))</f>
        <v/>
      </c>
      <c r="I16" s="32">
        <f>IF($B16="",0,IFERROR(IF($D16="",INDEX(Assumptions!$B$14:$E$19,MIN(6,ROUNDUP(($C16+I$5)/3,0)),MATCH($B16,Assumptions!$B$4:$E$4,0)),IF(I$5&lt;$D16,0,INDEX(Assumptions!$B$14:$E$19,MIN(6,ROUNDUP((I$5-$D16+1)/3,0)),MATCH($B16,Assumptions!$B$4:$E$4,0)))),0))</f>
        <v/>
      </c>
      <c r="J16" s="32">
        <f>IF($B16="",0,IFERROR(IF($D16="",INDEX(Assumptions!$B$14:$E$19,MIN(6,ROUNDUP(($C16+J$5)/3,0)),MATCH($B16,Assumptions!$B$4:$E$4,0)),IF(J$5&lt;$D16,0,INDEX(Assumptions!$B$14:$E$19,MIN(6,ROUNDUP((J$5-$D16+1)/3,0)),MATCH($B16,Assumptions!$B$4:$E$4,0)))),0))</f>
        <v/>
      </c>
      <c r="K16" s="32">
        <f>IF($B16="",0,IFERROR(IF($D16="",INDEX(Assumptions!$B$14:$E$19,MIN(6,ROUNDUP(($C16+K$5)/3,0)),MATCH($B16,Assumptions!$B$4:$E$4,0)),IF(K$5&lt;$D16,0,INDEX(Assumptions!$B$14:$E$19,MIN(6,ROUNDUP((K$5-$D16+1)/3,0)),MATCH($B16,Assumptions!$B$4:$E$4,0)))),0))</f>
        <v/>
      </c>
      <c r="L16" s="32">
        <f>IF($B16="",0,IFERROR(IF($D16="",INDEX(Assumptions!$B$14:$E$19,MIN(6,ROUNDUP(($C16+L$5)/3,0)),MATCH($B16,Assumptions!$B$4:$E$4,0)),IF(L$5&lt;$D16,0,INDEX(Assumptions!$B$14:$E$19,MIN(6,ROUNDUP((L$5-$D16+1)/3,0)),MATCH($B16,Assumptions!$B$4:$E$4,0)))),0))</f>
        <v/>
      </c>
      <c r="M16" s="32">
        <f>IF($B16="",0,IFERROR(IF($D16="",INDEX(Assumptions!$B$14:$E$19,MIN(6,ROUNDUP(($C16+M$5)/3,0)),MATCH($B16,Assumptions!$B$4:$E$4,0)),IF(M$5&lt;$D16,0,INDEX(Assumptions!$B$14:$E$19,MIN(6,ROUNDUP((M$5-$D16+1)/3,0)),MATCH($B16,Assumptions!$B$4:$E$4,0)))),0))</f>
        <v/>
      </c>
      <c r="N16" s="32">
        <f>IF($B16="",0,IFERROR(IF($D16="",INDEX(Assumptions!$B$14:$E$19,MIN(6,ROUNDUP(($C16+N$5)/3,0)),MATCH($B16,Assumptions!$B$4:$E$4,0)),IF(N$5&lt;$D16,0,INDEX(Assumptions!$B$14:$E$19,MIN(6,ROUNDUP((N$5-$D16+1)/3,0)),MATCH($B16,Assumptions!$B$4:$E$4,0)))),0))</f>
        <v/>
      </c>
      <c r="O16" s="32">
        <f>IF($B16="",0,IFERROR(IF($D16="",INDEX(Assumptions!$B$14:$E$19,MIN(6,ROUNDUP(($C16+O$5)/3,0)),MATCH($B16,Assumptions!$B$4:$E$4,0)),IF(O$5&lt;$D16,0,INDEX(Assumptions!$B$14:$E$19,MIN(6,ROUNDUP((O$5-$D16+1)/3,0)),MATCH($B16,Assumptions!$B$4:$E$4,0)))),0))</f>
        <v/>
      </c>
      <c r="P16" s="32">
        <f>IF($B16="",0,IFERROR(IF($D16="",INDEX(Assumptions!$B$14:$E$19,MIN(6,ROUNDUP(($C16+P$5)/3,0)),MATCH($B16,Assumptions!$B$4:$E$4,0)),IF(P$5&lt;$D16,0,INDEX(Assumptions!$B$14:$E$19,MIN(6,ROUNDUP((P$5-$D16+1)/3,0)),MATCH($B16,Assumptions!$B$4:$E$4,0)))),0))</f>
        <v/>
      </c>
      <c r="Q16" s="32">
        <f>IF($B16="",0,IFERROR(IF($D16="",INDEX(Assumptions!$B$14:$E$19,MIN(6,ROUNDUP(($C16+Q$5)/3,0)),MATCH($B16,Assumptions!$B$4:$E$4,0)),IF(Q$5&lt;$D16,0,INDEX(Assumptions!$B$14:$E$19,MIN(6,ROUNDUP((Q$5-$D16+1)/3,0)),MATCH($B16,Assumptions!$B$4:$E$4,0)))),0))</f>
        <v/>
      </c>
      <c r="R16" s="32">
        <f>IF($B16="",0,IFERROR(IF($D16="",INDEX(Assumptions!$B$14:$E$19,MIN(6,ROUNDUP(($C16+R$5)/3,0)),MATCH($B16,Assumptions!$B$4:$E$4,0)),IF(R$5&lt;$D16,0,INDEX(Assumptions!$B$14:$E$19,MIN(6,ROUNDUP((R$5-$D16+1)/3,0)),MATCH($B16,Assumptions!$B$4:$E$4,0)))),0))</f>
        <v/>
      </c>
      <c r="S16" s="32">
        <f>SUM(G16:R16)</f>
        <v/>
      </c>
      <c r="T16" s="11">
        <f>E16/12*F16*S16</f>
        <v/>
      </c>
      <c r="U16" s="11">
        <f>IF($B16="",0,IF($D16="",E16,E16*(13-MIN(12,MAX(1,$D16)))/12))</f>
        <v/>
      </c>
    </row>
    <row r="17">
      <c r="A17" s="20" t="n"/>
      <c r="B17" s="20" t="n"/>
      <c r="C17" s="25" t="n"/>
      <c r="D17" s="25" t="n"/>
      <c r="E17" s="31">
        <f>IF($B17="",0,IFERROR(INDEX(Assumptions!$B$8:$E$8,1,MATCH($B17,Assumptions!$B$4:$E$4,0)),0))</f>
        <v/>
      </c>
      <c r="F17" s="12">
        <f>IF($B17="",0,IFERROR(INDEX(Assumptions!$B$9:$E$9,1,MATCH($B17,Assumptions!$B$4:$E$4,0)),0))</f>
        <v/>
      </c>
      <c r="G17" s="32">
        <f>IF($B17="",0,IFERROR(IF($D17="",INDEX(Assumptions!$B$14:$E$19,MIN(6,ROUNDUP(($C17+G$5)/3,0)),MATCH($B17,Assumptions!$B$4:$E$4,0)),IF(G$5&lt;$D17,0,INDEX(Assumptions!$B$14:$E$19,MIN(6,ROUNDUP((G$5-$D17+1)/3,0)),MATCH($B17,Assumptions!$B$4:$E$4,0)))),0))</f>
        <v/>
      </c>
      <c r="H17" s="32">
        <f>IF($B17="",0,IFERROR(IF($D17="",INDEX(Assumptions!$B$14:$E$19,MIN(6,ROUNDUP(($C17+H$5)/3,0)),MATCH($B17,Assumptions!$B$4:$E$4,0)),IF(H$5&lt;$D17,0,INDEX(Assumptions!$B$14:$E$19,MIN(6,ROUNDUP((H$5-$D17+1)/3,0)),MATCH($B17,Assumptions!$B$4:$E$4,0)))),0))</f>
        <v/>
      </c>
      <c r="I17" s="32">
        <f>IF($B17="",0,IFERROR(IF($D17="",INDEX(Assumptions!$B$14:$E$19,MIN(6,ROUNDUP(($C17+I$5)/3,0)),MATCH($B17,Assumptions!$B$4:$E$4,0)),IF(I$5&lt;$D17,0,INDEX(Assumptions!$B$14:$E$19,MIN(6,ROUNDUP((I$5-$D17+1)/3,0)),MATCH($B17,Assumptions!$B$4:$E$4,0)))),0))</f>
        <v/>
      </c>
      <c r="J17" s="32">
        <f>IF($B17="",0,IFERROR(IF($D17="",INDEX(Assumptions!$B$14:$E$19,MIN(6,ROUNDUP(($C17+J$5)/3,0)),MATCH($B17,Assumptions!$B$4:$E$4,0)),IF(J$5&lt;$D17,0,INDEX(Assumptions!$B$14:$E$19,MIN(6,ROUNDUP((J$5-$D17+1)/3,0)),MATCH($B17,Assumptions!$B$4:$E$4,0)))),0))</f>
        <v/>
      </c>
      <c r="K17" s="32">
        <f>IF($B17="",0,IFERROR(IF($D17="",INDEX(Assumptions!$B$14:$E$19,MIN(6,ROUNDUP(($C17+K$5)/3,0)),MATCH($B17,Assumptions!$B$4:$E$4,0)),IF(K$5&lt;$D17,0,INDEX(Assumptions!$B$14:$E$19,MIN(6,ROUNDUP((K$5-$D17+1)/3,0)),MATCH($B17,Assumptions!$B$4:$E$4,0)))),0))</f>
        <v/>
      </c>
      <c r="L17" s="32">
        <f>IF($B17="",0,IFERROR(IF($D17="",INDEX(Assumptions!$B$14:$E$19,MIN(6,ROUNDUP(($C17+L$5)/3,0)),MATCH($B17,Assumptions!$B$4:$E$4,0)),IF(L$5&lt;$D17,0,INDEX(Assumptions!$B$14:$E$19,MIN(6,ROUNDUP((L$5-$D17+1)/3,0)),MATCH($B17,Assumptions!$B$4:$E$4,0)))),0))</f>
        <v/>
      </c>
      <c r="M17" s="32">
        <f>IF($B17="",0,IFERROR(IF($D17="",INDEX(Assumptions!$B$14:$E$19,MIN(6,ROUNDUP(($C17+M$5)/3,0)),MATCH($B17,Assumptions!$B$4:$E$4,0)),IF(M$5&lt;$D17,0,INDEX(Assumptions!$B$14:$E$19,MIN(6,ROUNDUP((M$5-$D17+1)/3,0)),MATCH($B17,Assumptions!$B$4:$E$4,0)))),0))</f>
        <v/>
      </c>
      <c r="N17" s="32">
        <f>IF($B17="",0,IFERROR(IF($D17="",INDEX(Assumptions!$B$14:$E$19,MIN(6,ROUNDUP(($C17+N$5)/3,0)),MATCH($B17,Assumptions!$B$4:$E$4,0)),IF(N$5&lt;$D17,0,INDEX(Assumptions!$B$14:$E$19,MIN(6,ROUNDUP((N$5-$D17+1)/3,0)),MATCH($B17,Assumptions!$B$4:$E$4,0)))),0))</f>
        <v/>
      </c>
      <c r="O17" s="32">
        <f>IF($B17="",0,IFERROR(IF($D17="",INDEX(Assumptions!$B$14:$E$19,MIN(6,ROUNDUP(($C17+O$5)/3,0)),MATCH($B17,Assumptions!$B$4:$E$4,0)),IF(O$5&lt;$D17,0,INDEX(Assumptions!$B$14:$E$19,MIN(6,ROUNDUP((O$5-$D17+1)/3,0)),MATCH($B17,Assumptions!$B$4:$E$4,0)))),0))</f>
        <v/>
      </c>
      <c r="P17" s="32">
        <f>IF($B17="",0,IFERROR(IF($D17="",INDEX(Assumptions!$B$14:$E$19,MIN(6,ROUNDUP(($C17+P$5)/3,0)),MATCH($B17,Assumptions!$B$4:$E$4,0)),IF(P$5&lt;$D17,0,INDEX(Assumptions!$B$14:$E$19,MIN(6,ROUNDUP((P$5-$D17+1)/3,0)),MATCH($B17,Assumptions!$B$4:$E$4,0)))),0))</f>
        <v/>
      </c>
      <c r="Q17" s="32">
        <f>IF($B17="",0,IFERROR(IF($D17="",INDEX(Assumptions!$B$14:$E$19,MIN(6,ROUNDUP(($C17+Q$5)/3,0)),MATCH($B17,Assumptions!$B$4:$E$4,0)),IF(Q$5&lt;$D17,0,INDEX(Assumptions!$B$14:$E$19,MIN(6,ROUNDUP((Q$5-$D17+1)/3,0)),MATCH($B17,Assumptions!$B$4:$E$4,0)))),0))</f>
        <v/>
      </c>
      <c r="R17" s="32">
        <f>IF($B17="",0,IFERROR(IF($D17="",INDEX(Assumptions!$B$14:$E$19,MIN(6,ROUNDUP(($C17+R$5)/3,0)),MATCH($B17,Assumptions!$B$4:$E$4,0)),IF(R$5&lt;$D17,0,INDEX(Assumptions!$B$14:$E$19,MIN(6,ROUNDUP((R$5-$D17+1)/3,0)),MATCH($B17,Assumptions!$B$4:$E$4,0)))),0))</f>
        <v/>
      </c>
      <c r="S17" s="32">
        <f>SUM(G17:R17)</f>
        <v/>
      </c>
      <c r="T17" s="11">
        <f>E17/12*F17*S17</f>
        <v/>
      </c>
      <c r="U17" s="11">
        <f>IF($B17="",0,IF($D17="",E17,E17*(13-MIN(12,MAX(1,$D17)))/12))</f>
        <v/>
      </c>
    </row>
    <row r="18">
      <c r="A18" s="20" t="n"/>
      <c r="B18" s="20" t="n"/>
      <c r="C18" s="25" t="n"/>
      <c r="D18" s="25" t="n"/>
      <c r="E18" s="31">
        <f>IF($B18="",0,IFERROR(INDEX(Assumptions!$B$8:$E$8,1,MATCH($B18,Assumptions!$B$4:$E$4,0)),0))</f>
        <v/>
      </c>
      <c r="F18" s="12">
        <f>IF($B18="",0,IFERROR(INDEX(Assumptions!$B$9:$E$9,1,MATCH($B18,Assumptions!$B$4:$E$4,0)),0))</f>
        <v/>
      </c>
      <c r="G18" s="32">
        <f>IF($B18="",0,IFERROR(IF($D18="",INDEX(Assumptions!$B$14:$E$19,MIN(6,ROUNDUP(($C18+G$5)/3,0)),MATCH($B18,Assumptions!$B$4:$E$4,0)),IF(G$5&lt;$D18,0,INDEX(Assumptions!$B$14:$E$19,MIN(6,ROUNDUP((G$5-$D18+1)/3,0)),MATCH($B18,Assumptions!$B$4:$E$4,0)))),0))</f>
        <v/>
      </c>
      <c r="H18" s="32">
        <f>IF($B18="",0,IFERROR(IF($D18="",INDEX(Assumptions!$B$14:$E$19,MIN(6,ROUNDUP(($C18+H$5)/3,0)),MATCH($B18,Assumptions!$B$4:$E$4,0)),IF(H$5&lt;$D18,0,INDEX(Assumptions!$B$14:$E$19,MIN(6,ROUNDUP((H$5-$D18+1)/3,0)),MATCH($B18,Assumptions!$B$4:$E$4,0)))),0))</f>
        <v/>
      </c>
      <c r="I18" s="32">
        <f>IF($B18="",0,IFERROR(IF($D18="",INDEX(Assumptions!$B$14:$E$19,MIN(6,ROUNDUP(($C18+I$5)/3,0)),MATCH($B18,Assumptions!$B$4:$E$4,0)),IF(I$5&lt;$D18,0,INDEX(Assumptions!$B$14:$E$19,MIN(6,ROUNDUP((I$5-$D18+1)/3,0)),MATCH($B18,Assumptions!$B$4:$E$4,0)))),0))</f>
        <v/>
      </c>
      <c r="J18" s="32">
        <f>IF($B18="",0,IFERROR(IF($D18="",INDEX(Assumptions!$B$14:$E$19,MIN(6,ROUNDUP(($C18+J$5)/3,0)),MATCH($B18,Assumptions!$B$4:$E$4,0)),IF(J$5&lt;$D18,0,INDEX(Assumptions!$B$14:$E$19,MIN(6,ROUNDUP((J$5-$D18+1)/3,0)),MATCH($B18,Assumptions!$B$4:$E$4,0)))),0))</f>
        <v/>
      </c>
      <c r="K18" s="32">
        <f>IF($B18="",0,IFERROR(IF($D18="",INDEX(Assumptions!$B$14:$E$19,MIN(6,ROUNDUP(($C18+K$5)/3,0)),MATCH($B18,Assumptions!$B$4:$E$4,0)),IF(K$5&lt;$D18,0,INDEX(Assumptions!$B$14:$E$19,MIN(6,ROUNDUP((K$5-$D18+1)/3,0)),MATCH($B18,Assumptions!$B$4:$E$4,0)))),0))</f>
        <v/>
      </c>
      <c r="L18" s="32">
        <f>IF($B18="",0,IFERROR(IF($D18="",INDEX(Assumptions!$B$14:$E$19,MIN(6,ROUNDUP(($C18+L$5)/3,0)),MATCH($B18,Assumptions!$B$4:$E$4,0)),IF(L$5&lt;$D18,0,INDEX(Assumptions!$B$14:$E$19,MIN(6,ROUNDUP((L$5-$D18+1)/3,0)),MATCH($B18,Assumptions!$B$4:$E$4,0)))),0))</f>
        <v/>
      </c>
      <c r="M18" s="32">
        <f>IF($B18="",0,IFERROR(IF($D18="",INDEX(Assumptions!$B$14:$E$19,MIN(6,ROUNDUP(($C18+M$5)/3,0)),MATCH($B18,Assumptions!$B$4:$E$4,0)),IF(M$5&lt;$D18,0,INDEX(Assumptions!$B$14:$E$19,MIN(6,ROUNDUP((M$5-$D18+1)/3,0)),MATCH($B18,Assumptions!$B$4:$E$4,0)))),0))</f>
        <v/>
      </c>
      <c r="N18" s="32">
        <f>IF($B18="",0,IFERROR(IF($D18="",INDEX(Assumptions!$B$14:$E$19,MIN(6,ROUNDUP(($C18+N$5)/3,0)),MATCH($B18,Assumptions!$B$4:$E$4,0)),IF(N$5&lt;$D18,0,INDEX(Assumptions!$B$14:$E$19,MIN(6,ROUNDUP((N$5-$D18+1)/3,0)),MATCH($B18,Assumptions!$B$4:$E$4,0)))),0))</f>
        <v/>
      </c>
      <c r="O18" s="32">
        <f>IF($B18="",0,IFERROR(IF($D18="",INDEX(Assumptions!$B$14:$E$19,MIN(6,ROUNDUP(($C18+O$5)/3,0)),MATCH($B18,Assumptions!$B$4:$E$4,0)),IF(O$5&lt;$D18,0,INDEX(Assumptions!$B$14:$E$19,MIN(6,ROUNDUP((O$5-$D18+1)/3,0)),MATCH($B18,Assumptions!$B$4:$E$4,0)))),0))</f>
        <v/>
      </c>
      <c r="P18" s="32">
        <f>IF($B18="",0,IFERROR(IF($D18="",INDEX(Assumptions!$B$14:$E$19,MIN(6,ROUNDUP(($C18+P$5)/3,0)),MATCH($B18,Assumptions!$B$4:$E$4,0)),IF(P$5&lt;$D18,0,INDEX(Assumptions!$B$14:$E$19,MIN(6,ROUNDUP((P$5-$D18+1)/3,0)),MATCH($B18,Assumptions!$B$4:$E$4,0)))),0))</f>
        <v/>
      </c>
      <c r="Q18" s="32">
        <f>IF($B18="",0,IFERROR(IF($D18="",INDEX(Assumptions!$B$14:$E$19,MIN(6,ROUNDUP(($C18+Q$5)/3,0)),MATCH($B18,Assumptions!$B$4:$E$4,0)),IF(Q$5&lt;$D18,0,INDEX(Assumptions!$B$14:$E$19,MIN(6,ROUNDUP((Q$5-$D18+1)/3,0)),MATCH($B18,Assumptions!$B$4:$E$4,0)))),0))</f>
        <v/>
      </c>
      <c r="R18" s="32">
        <f>IF($B18="",0,IFERROR(IF($D18="",INDEX(Assumptions!$B$14:$E$19,MIN(6,ROUNDUP(($C18+R$5)/3,0)),MATCH($B18,Assumptions!$B$4:$E$4,0)),IF(R$5&lt;$D18,0,INDEX(Assumptions!$B$14:$E$19,MIN(6,ROUNDUP((R$5-$D18+1)/3,0)),MATCH($B18,Assumptions!$B$4:$E$4,0)))),0))</f>
        <v/>
      </c>
      <c r="S18" s="32">
        <f>SUM(G18:R18)</f>
        <v/>
      </c>
      <c r="T18" s="11">
        <f>E18/12*F18*S18</f>
        <v/>
      </c>
      <c r="U18" s="11">
        <f>IF($B18="",0,IF($D18="",E18,E18*(13-MIN(12,MAX(1,$D18)))/12))</f>
        <v/>
      </c>
    </row>
    <row r="19">
      <c r="A19" s="20" t="n"/>
      <c r="B19" s="20" t="n"/>
      <c r="C19" s="25" t="n"/>
      <c r="D19" s="25" t="n"/>
      <c r="E19" s="31">
        <f>IF($B19="",0,IFERROR(INDEX(Assumptions!$B$8:$E$8,1,MATCH($B19,Assumptions!$B$4:$E$4,0)),0))</f>
        <v/>
      </c>
      <c r="F19" s="12">
        <f>IF($B19="",0,IFERROR(INDEX(Assumptions!$B$9:$E$9,1,MATCH($B19,Assumptions!$B$4:$E$4,0)),0))</f>
        <v/>
      </c>
      <c r="G19" s="32">
        <f>IF($B19="",0,IFERROR(IF($D19="",INDEX(Assumptions!$B$14:$E$19,MIN(6,ROUNDUP(($C19+G$5)/3,0)),MATCH($B19,Assumptions!$B$4:$E$4,0)),IF(G$5&lt;$D19,0,INDEX(Assumptions!$B$14:$E$19,MIN(6,ROUNDUP((G$5-$D19+1)/3,0)),MATCH($B19,Assumptions!$B$4:$E$4,0)))),0))</f>
        <v/>
      </c>
      <c r="H19" s="32">
        <f>IF($B19="",0,IFERROR(IF($D19="",INDEX(Assumptions!$B$14:$E$19,MIN(6,ROUNDUP(($C19+H$5)/3,0)),MATCH($B19,Assumptions!$B$4:$E$4,0)),IF(H$5&lt;$D19,0,INDEX(Assumptions!$B$14:$E$19,MIN(6,ROUNDUP((H$5-$D19+1)/3,0)),MATCH($B19,Assumptions!$B$4:$E$4,0)))),0))</f>
        <v/>
      </c>
      <c r="I19" s="32">
        <f>IF($B19="",0,IFERROR(IF($D19="",INDEX(Assumptions!$B$14:$E$19,MIN(6,ROUNDUP(($C19+I$5)/3,0)),MATCH($B19,Assumptions!$B$4:$E$4,0)),IF(I$5&lt;$D19,0,INDEX(Assumptions!$B$14:$E$19,MIN(6,ROUNDUP((I$5-$D19+1)/3,0)),MATCH($B19,Assumptions!$B$4:$E$4,0)))),0))</f>
        <v/>
      </c>
      <c r="J19" s="32">
        <f>IF($B19="",0,IFERROR(IF($D19="",INDEX(Assumptions!$B$14:$E$19,MIN(6,ROUNDUP(($C19+J$5)/3,0)),MATCH($B19,Assumptions!$B$4:$E$4,0)),IF(J$5&lt;$D19,0,INDEX(Assumptions!$B$14:$E$19,MIN(6,ROUNDUP((J$5-$D19+1)/3,0)),MATCH($B19,Assumptions!$B$4:$E$4,0)))),0))</f>
        <v/>
      </c>
      <c r="K19" s="32">
        <f>IF($B19="",0,IFERROR(IF($D19="",INDEX(Assumptions!$B$14:$E$19,MIN(6,ROUNDUP(($C19+K$5)/3,0)),MATCH($B19,Assumptions!$B$4:$E$4,0)),IF(K$5&lt;$D19,0,INDEX(Assumptions!$B$14:$E$19,MIN(6,ROUNDUP((K$5-$D19+1)/3,0)),MATCH($B19,Assumptions!$B$4:$E$4,0)))),0))</f>
        <v/>
      </c>
      <c r="L19" s="32">
        <f>IF($B19="",0,IFERROR(IF($D19="",INDEX(Assumptions!$B$14:$E$19,MIN(6,ROUNDUP(($C19+L$5)/3,0)),MATCH($B19,Assumptions!$B$4:$E$4,0)),IF(L$5&lt;$D19,0,INDEX(Assumptions!$B$14:$E$19,MIN(6,ROUNDUP((L$5-$D19+1)/3,0)),MATCH($B19,Assumptions!$B$4:$E$4,0)))),0))</f>
        <v/>
      </c>
      <c r="M19" s="32">
        <f>IF($B19="",0,IFERROR(IF($D19="",INDEX(Assumptions!$B$14:$E$19,MIN(6,ROUNDUP(($C19+M$5)/3,0)),MATCH($B19,Assumptions!$B$4:$E$4,0)),IF(M$5&lt;$D19,0,INDEX(Assumptions!$B$14:$E$19,MIN(6,ROUNDUP((M$5-$D19+1)/3,0)),MATCH($B19,Assumptions!$B$4:$E$4,0)))),0))</f>
        <v/>
      </c>
      <c r="N19" s="32">
        <f>IF($B19="",0,IFERROR(IF($D19="",INDEX(Assumptions!$B$14:$E$19,MIN(6,ROUNDUP(($C19+N$5)/3,0)),MATCH($B19,Assumptions!$B$4:$E$4,0)),IF(N$5&lt;$D19,0,INDEX(Assumptions!$B$14:$E$19,MIN(6,ROUNDUP((N$5-$D19+1)/3,0)),MATCH($B19,Assumptions!$B$4:$E$4,0)))),0))</f>
        <v/>
      </c>
      <c r="O19" s="32">
        <f>IF($B19="",0,IFERROR(IF($D19="",INDEX(Assumptions!$B$14:$E$19,MIN(6,ROUNDUP(($C19+O$5)/3,0)),MATCH($B19,Assumptions!$B$4:$E$4,0)),IF(O$5&lt;$D19,0,INDEX(Assumptions!$B$14:$E$19,MIN(6,ROUNDUP((O$5-$D19+1)/3,0)),MATCH($B19,Assumptions!$B$4:$E$4,0)))),0))</f>
        <v/>
      </c>
      <c r="P19" s="32">
        <f>IF($B19="",0,IFERROR(IF($D19="",INDEX(Assumptions!$B$14:$E$19,MIN(6,ROUNDUP(($C19+P$5)/3,0)),MATCH($B19,Assumptions!$B$4:$E$4,0)),IF(P$5&lt;$D19,0,INDEX(Assumptions!$B$14:$E$19,MIN(6,ROUNDUP((P$5-$D19+1)/3,0)),MATCH($B19,Assumptions!$B$4:$E$4,0)))),0))</f>
        <v/>
      </c>
      <c r="Q19" s="32">
        <f>IF($B19="",0,IFERROR(IF($D19="",INDEX(Assumptions!$B$14:$E$19,MIN(6,ROUNDUP(($C19+Q$5)/3,0)),MATCH($B19,Assumptions!$B$4:$E$4,0)),IF(Q$5&lt;$D19,0,INDEX(Assumptions!$B$14:$E$19,MIN(6,ROUNDUP((Q$5-$D19+1)/3,0)),MATCH($B19,Assumptions!$B$4:$E$4,0)))),0))</f>
        <v/>
      </c>
      <c r="R19" s="32">
        <f>IF($B19="",0,IFERROR(IF($D19="",INDEX(Assumptions!$B$14:$E$19,MIN(6,ROUNDUP(($C19+R$5)/3,0)),MATCH($B19,Assumptions!$B$4:$E$4,0)),IF(R$5&lt;$D19,0,INDEX(Assumptions!$B$14:$E$19,MIN(6,ROUNDUP((R$5-$D19+1)/3,0)),MATCH($B19,Assumptions!$B$4:$E$4,0)))),0))</f>
        <v/>
      </c>
      <c r="S19" s="32">
        <f>SUM(G19:R19)</f>
        <v/>
      </c>
      <c r="T19" s="11">
        <f>E19/12*F19*S19</f>
        <v/>
      </c>
      <c r="U19" s="11">
        <f>IF($B19="",0,IF($D19="",E19,E19*(13-MIN(12,MAX(1,$D19)))/12))</f>
        <v/>
      </c>
    </row>
    <row r="20">
      <c r="A20" s="20" t="n"/>
      <c r="B20" s="20" t="n"/>
      <c r="C20" s="25" t="n"/>
      <c r="D20" s="25" t="n"/>
      <c r="E20" s="31">
        <f>IF($B20="",0,IFERROR(INDEX(Assumptions!$B$8:$E$8,1,MATCH($B20,Assumptions!$B$4:$E$4,0)),0))</f>
        <v/>
      </c>
      <c r="F20" s="12">
        <f>IF($B20="",0,IFERROR(INDEX(Assumptions!$B$9:$E$9,1,MATCH($B20,Assumptions!$B$4:$E$4,0)),0))</f>
        <v/>
      </c>
      <c r="G20" s="32">
        <f>IF($B20="",0,IFERROR(IF($D20="",INDEX(Assumptions!$B$14:$E$19,MIN(6,ROUNDUP(($C20+G$5)/3,0)),MATCH($B20,Assumptions!$B$4:$E$4,0)),IF(G$5&lt;$D20,0,INDEX(Assumptions!$B$14:$E$19,MIN(6,ROUNDUP((G$5-$D20+1)/3,0)),MATCH($B20,Assumptions!$B$4:$E$4,0)))),0))</f>
        <v/>
      </c>
      <c r="H20" s="32">
        <f>IF($B20="",0,IFERROR(IF($D20="",INDEX(Assumptions!$B$14:$E$19,MIN(6,ROUNDUP(($C20+H$5)/3,0)),MATCH($B20,Assumptions!$B$4:$E$4,0)),IF(H$5&lt;$D20,0,INDEX(Assumptions!$B$14:$E$19,MIN(6,ROUNDUP((H$5-$D20+1)/3,0)),MATCH($B20,Assumptions!$B$4:$E$4,0)))),0))</f>
        <v/>
      </c>
      <c r="I20" s="32">
        <f>IF($B20="",0,IFERROR(IF($D20="",INDEX(Assumptions!$B$14:$E$19,MIN(6,ROUNDUP(($C20+I$5)/3,0)),MATCH($B20,Assumptions!$B$4:$E$4,0)),IF(I$5&lt;$D20,0,INDEX(Assumptions!$B$14:$E$19,MIN(6,ROUNDUP((I$5-$D20+1)/3,0)),MATCH($B20,Assumptions!$B$4:$E$4,0)))),0))</f>
        <v/>
      </c>
      <c r="J20" s="32">
        <f>IF($B20="",0,IFERROR(IF($D20="",INDEX(Assumptions!$B$14:$E$19,MIN(6,ROUNDUP(($C20+J$5)/3,0)),MATCH($B20,Assumptions!$B$4:$E$4,0)),IF(J$5&lt;$D20,0,INDEX(Assumptions!$B$14:$E$19,MIN(6,ROUNDUP((J$5-$D20+1)/3,0)),MATCH($B20,Assumptions!$B$4:$E$4,0)))),0))</f>
        <v/>
      </c>
      <c r="K20" s="32">
        <f>IF($B20="",0,IFERROR(IF($D20="",INDEX(Assumptions!$B$14:$E$19,MIN(6,ROUNDUP(($C20+K$5)/3,0)),MATCH($B20,Assumptions!$B$4:$E$4,0)),IF(K$5&lt;$D20,0,INDEX(Assumptions!$B$14:$E$19,MIN(6,ROUNDUP((K$5-$D20+1)/3,0)),MATCH($B20,Assumptions!$B$4:$E$4,0)))),0))</f>
        <v/>
      </c>
      <c r="L20" s="32">
        <f>IF($B20="",0,IFERROR(IF($D20="",INDEX(Assumptions!$B$14:$E$19,MIN(6,ROUNDUP(($C20+L$5)/3,0)),MATCH($B20,Assumptions!$B$4:$E$4,0)),IF(L$5&lt;$D20,0,INDEX(Assumptions!$B$14:$E$19,MIN(6,ROUNDUP((L$5-$D20+1)/3,0)),MATCH($B20,Assumptions!$B$4:$E$4,0)))),0))</f>
        <v/>
      </c>
      <c r="M20" s="32">
        <f>IF($B20="",0,IFERROR(IF($D20="",INDEX(Assumptions!$B$14:$E$19,MIN(6,ROUNDUP(($C20+M$5)/3,0)),MATCH($B20,Assumptions!$B$4:$E$4,0)),IF(M$5&lt;$D20,0,INDEX(Assumptions!$B$14:$E$19,MIN(6,ROUNDUP((M$5-$D20+1)/3,0)),MATCH($B20,Assumptions!$B$4:$E$4,0)))),0))</f>
        <v/>
      </c>
      <c r="N20" s="32">
        <f>IF($B20="",0,IFERROR(IF($D20="",INDEX(Assumptions!$B$14:$E$19,MIN(6,ROUNDUP(($C20+N$5)/3,0)),MATCH($B20,Assumptions!$B$4:$E$4,0)),IF(N$5&lt;$D20,0,INDEX(Assumptions!$B$14:$E$19,MIN(6,ROUNDUP((N$5-$D20+1)/3,0)),MATCH($B20,Assumptions!$B$4:$E$4,0)))),0))</f>
        <v/>
      </c>
      <c r="O20" s="32">
        <f>IF($B20="",0,IFERROR(IF($D20="",INDEX(Assumptions!$B$14:$E$19,MIN(6,ROUNDUP(($C20+O$5)/3,0)),MATCH($B20,Assumptions!$B$4:$E$4,0)),IF(O$5&lt;$D20,0,INDEX(Assumptions!$B$14:$E$19,MIN(6,ROUNDUP((O$5-$D20+1)/3,0)),MATCH($B20,Assumptions!$B$4:$E$4,0)))),0))</f>
        <v/>
      </c>
      <c r="P20" s="32">
        <f>IF($B20="",0,IFERROR(IF($D20="",INDEX(Assumptions!$B$14:$E$19,MIN(6,ROUNDUP(($C20+P$5)/3,0)),MATCH($B20,Assumptions!$B$4:$E$4,0)),IF(P$5&lt;$D20,0,INDEX(Assumptions!$B$14:$E$19,MIN(6,ROUNDUP((P$5-$D20+1)/3,0)),MATCH($B20,Assumptions!$B$4:$E$4,0)))),0))</f>
        <v/>
      </c>
      <c r="Q20" s="32">
        <f>IF($B20="",0,IFERROR(IF($D20="",INDEX(Assumptions!$B$14:$E$19,MIN(6,ROUNDUP(($C20+Q$5)/3,0)),MATCH($B20,Assumptions!$B$4:$E$4,0)),IF(Q$5&lt;$D20,0,INDEX(Assumptions!$B$14:$E$19,MIN(6,ROUNDUP((Q$5-$D20+1)/3,0)),MATCH($B20,Assumptions!$B$4:$E$4,0)))),0))</f>
        <v/>
      </c>
      <c r="R20" s="32">
        <f>IF($B20="",0,IFERROR(IF($D20="",INDEX(Assumptions!$B$14:$E$19,MIN(6,ROUNDUP(($C20+R$5)/3,0)),MATCH($B20,Assumptions!$B$4:$E$4,0)),IF(R$5&lt;$D20,0,INDEX(Assumptions!$B$14:$E$19,MIN(6,ROUNDUP((R$5-$D20+1)/3,0)),MATCH($B20,Assumptions!$B$4:$E$4,0)))),0))</f>
        <v/>
      </c>
      <c r="S20" s="32">
        <f>SUM(G20:R20)</f>
        <v/>
      </c>
      <c r="T20" s="11">
        <f>E20/12*F20*S20</f>
        <v/>
      </c>
      <c r="U20" s="11">
        <f>IF($B20="",0,IF($D20="",E20,E20*(13-MIN(12,MAX(1,$D20)))/12))</f>
        <v/>
      </c>
    </row>
    <row r="21">
      <c r="A21" s="20" t="n"/>
      <c r="B21" s="20" t="n"/>
      <c r="C21" s="25" t="n"/>
      <c r="D21" s="25" t="n"/>
      <c r="E21" s="31">
        <f>IF($B21="",0,IFERROR(INDEX(Assumptions!$B$8:$E$8,1,MATCH($B21,Assumptions!$B$4:$E$4,0)),0))</f>
        <v/>
      </c>
      <c r="F21" s="12">
        <f>IF($B21="",0,IFERROR(INDEX(Assumptions!$B$9:$E$9,1,MATCH($B21,Assumptions!$B$4:$E$4,0)),0))</f>
        <v/>
      </c>
      <c r="G21" s="32">
        <f>IF($B21="",0,IFERROR(IF($D21="",INDEX(Assumptions!$B$14:$E$19,MIN(6,ROUNDUP(($C21+G$5)/3,0)),MATCH($B21,Assumptions!$B$4:$E$4,0)),IF(G$5&lt;$D21,0,INDEX(Assumptions!$B$14:$E$19,MIN(6,ROUNDUP((G$5-$D21+1)/3,0)),MATCH($B21,Assumptions!$B$4:$E$4,0)))),0))</f>
        <v/>
      </c>
      <c r="H21" s="32">
        <f>IF($B21="",0,IFERROR(IF($D21="",INDEX(Assumptions!$B$14:$E$19,MIN(6,ROUNDUP(($C21+H$5)/3,0)),MATCH($B21,Assumptions!$B$4:$E$4,0)),IF(H$5&lt;$D21,0,INDEX(Assumptions!$B$14:$E$19,MIN(6,ROUNDUP((H$5-$D21+1)/3,0)),MATCH($B21,Assumptions!$B$4:$E$4,0)))),0))</f>
        <v/>
      </c>
      <c r="I21" s="32">
        <f>IF($B21="",0,IFERROR(IF($D21="",INDEX(Assumptions!$B$14:$E$19,MIN(6,ROUNDUP(($C21+I$5)/3,0)),MATCH($B21,Assumptions!$B$4:$E$4,0)),IF(I$5&lt;$D21,0,INDEX(Assumptions!$B$14:$E$19,MIN(6,ROUNDUP((I$5-$D21+1)/3,0)),MATCH($B21,Assumptions!$B$4:$E$4,0)))),0))</f>
        <v/>
      </c>
      <c r="J21" s="32">
        <f>IF($B21="",0,IFERROR(IF($D21="",INDEX(Assumptions!$B$14:$E$19,MIN(6,ROUNDUP(($C21+J$5)/3,0)),MATCH($B21,Assumptions!$B$4:$E$4,0)),IF(J$5&lt;$D21,0,INDEX(Assumptions!$B$14:$E$19,MIN(6,ROUNDUP((J$5-$D21+1)/3,0)),MATCH($B21,Assumptions!$B$4:$E$4,0)))),0))</f>
        <v/>
      </c>
      <c r="K21" s="32">
        <f>IF($B21="",0,IFERROR(IF($D21="",INDEX(Assumptions!$B$14:$E$19,MIN(6,ROUNDUP(($C21+K$5)/3,0)),MATCH($B21,Assumptions!$B$4:$E$4,0)),IF(K$5&lt;$D21,0,INDEX(Assumptions!$B$14:$E$19,MIN(6,ROUNDUP((K$5-$D21+1)/3,0)),MATCH($B21,Assumptions!$B$4:$E$4,0)))),0))</f>
        <v/>
      </c>
      <c r="L21" s="32">
        <f>IF($B21="",0,IFERROR(IF($D21="",INDEX(Assumptions!$B$14:$E$19,MIN(6,ROUNDUP(($C21+L$5)/3,0)),MATCH($B21,Assumptions!$B$4:$E$4,0)),IF(L$5&lt;$D21,0,INDEX(Assumptions!$B$14:$E$19,MIN(6,ROUNDUP((L$5-$D21+1)/3,0)),MATCH($B21,Assumptions!$B$4:$E$4,0)))),0))</f>
        <v/>
      </c>
      <c r="M21" s="32">
        <f>IF($B21="",0,IFERROR(IF($D21="",INDEX(Assumptions!$B$14:$E$19,MIN(6,ROUNDUP(($C21+M$5)/3,0)),MATCH($B21,Assumptions!$B$4:$E$4,0)),IF(M$5&lt;$D21,0,INDEX(Assumptions!$B$14:$E$19,MIN(6,ROUNDUP((M$5-$D21+1)/3,0)),MATCH($B21,Assumptions!$B$4:$E$4,0)))),0))</f>
        <v/>
      </c>
      <c r="N21" s="32">
        <f>IF($B21="",0,IFERROR(IF($D21="",INDEX(Assumptions!$B$14:$E$19,MIN(6,ROUNDUP(($C21+N$5)/3,0)),MATCH($B21,Assumptions!$B$4:$E$4,0)),IF(N$5&lt;$D21,0,INDEX(Assumptions!$B$14:$E$19,MIN(6,ROUNDUP((N$5-$D21+1)/3,0)),MATCH($B21,Assumptions!$B$4:$E$4,0)))),0))</f>
        <v/>
      </c>
      <c r="O21" s="32">
        <f>IF($B21="",0,IFERROR(IF($D21="",INDEX(Assumptions!$B$14:$E$19,MIN(6,ROUNDUP(($C21+O$5)/3,0)),MATCH($B21,Assumptions!$B$4:$E$4,0)),IF(O$5&lt;$D21,0,INDEX(Assumptions!$B$14:$E$19,MIN(6,ROUNDUP((O$5-$D21+1)/3,0)),MATCH($B21,Assumptions!$B$4:$E$4,0)))),0))</f>
        <v/>
      </c>
      <c r="P21" s="32">
        <f>IF($B21="",0,IFERROR(IF($D21="",INDEX(Assumptions!$B$14:$E$19,MIN(6,ROUNDUP(($C21+P$5)/3,0)),MATCH($B21,Assumptions!$B$4:$E$4,0)),IF(P$5&lt;$D21,0,INDEX(Assumptions!$B$14:$E$19,MIN(6,ROUNDUP((P$5-$D21+1)/3,0)),MATCH($B21,Assumptions!$B$4:$E$4,0)))),0))</f>
        <v/>
      </c>
      <c r="Q21" s="32">
        <f>IF($B21="",0,IFERROR(IF($D21="",INDEX(Assumptions!$B$14:$E$19,MIN(6,ROUNDUP(($C21+Q$5)/3,0)),MATCH($B21,Assumptions!$B$4:$E$4,0)),IF(Q$5&lt;$D21,0,INDEX(Assumptions!$B$14:$E$19,MIN(6,ROUNDUP((Q$5-$D21+1)/3,0)),MATCH($B21,Assumptions!$B$4:$E$4,0)))),0))</f>
        <v/>
      </c>
      <c r="R21" s="32">
        <f>IF($B21="",0,IFERROR(IF($D21="",INDEX(Assumptions!$B$14:$E$19,MIN(6,ROUNDUP(($C21+R$5)/3,0)),MATCH($B21,Assumptions!$B$4:$E$4,0)),IF(R$5&lt;$D21,0,INDEX(Assumptions!$B$14:$E$19,MIN(6,ROUNDUP((R$5-$D21+1)/3,0)),MATCH($B21,Assumptions!$B$4:$E$4,0)))),0))</f>
        <v/>
      </c>
      <c r="S21" s="32">
        <f>SUM(G21:R21)</f>
        <v/>
      </c>
      <c r="T21" s="11">
        <f>E21/12*F21*S21</f>
        <v/>
      </c>
      <c r="U21" s="11">
        <f>IF($B21="",0,IF($D21="",E21,E21*(13-MIN(12,MAX(1,$D21)))/12))</f>
        <v/>
      </c>
    </row>
    <row r="22">
      <c r="A22" s="20" t="n"/>
      <c r="B22" s="20" t="n"/>
      <c r="C22" s="25" t="n"/>
      <c r="D22" s="25" t="n"/>
      <c r="E22" s="31">
        <f>IF($B22="",0,IFERROR(INDEX(Assumptions!$B$8:$E$8,1,MATCH($B22,Assumptions!$B$4:$E$4,0)),0))</f>
        <v/>
      </c>
      <c r="F22" s="12">
        <f>IF($B22="",0,IFERROR(INDEX(Assumptions!$B$9:$E$9,1,MATCH($B22,Assumptions!$B$4:$E$4,0)),0))</f>
        <v/>
      </c>
      <c r="G22" s="32">
        <f>IF($B22="",0,IFERROR(IF($D22="",INDEX(Assumptions!$B$14:$E$19,MIN(6,ROUNDUP(($C22+G$5)/3,0)),MATCH($B22,Assumptions!$B$4:$E$4,0)),IF(G$5&lt;$D22,0,INDEX(Assumptions!$B$14:$E$19,MIN(6,ROUNDUP((G$5-$D22+1)/3,0)),MATCH($B22,Assumptions!$B$4:$E$4,0)))),0))</f>
        <v/>
      </c>
      <c r="H22" s="32">
        <f>IF($B22="",0,IFERROR(IF($D22="",INDEX(Assumptions!$B$14:$E$19,MIN(6,ROUNDUP(($C22+H$5)/3,0)),MATCH($B22,Assumptions!$B$4:$E$4,0)),IF(H$5&lt;$D22,0,INDEX(Assumptions!$B$14:$E$19,MIN(6,ROUNDUP((H$5-$D22+1)/3,0)),MATCH($B22,Assumptions!$B$4:$E$4,0)))),0))</f>
        <v/>
      </c>
      <c r="I22" s="32">
        <f>IF($B22="",0,IFERROR(IF($D22="",INDEX(Assumptions!$B$14:$E$19,MIN(6,ROUNDUP(($C22+I$5)/3,0)),MATCH($B22,Assumptions!$B$4:$E$4,0)),IF(I$5&lt;$D22,0,INDEX(Assumptions!$B$14:$E$19,MIN(6,ROUNDUP((I$5-$D22+1)/3,0)),MATCH($B22,Assumptions!$B$4:$E$4,0)))),0))</f>
        <v/>
      </c>
      <c r="J22" s="32">
        <f>IF($B22="",0,IFERROR(IF($D22="",INDEX(Assumptions!$B$14:$E$19,MIN(6,ROUNDUP(($C22+J$5)/3,0)),MATCH($B22,Assumptions!$B$4:$E$4,0)),IF(J$5&lt;$D22,0,INDEX(Assumptions!$B$14:$E$19,MIN(6,ROUNDUP((J$5-$D22+1)/3,0)),MATCH($B22,Assumptions!$B$4:$E$4,0)))),0))</f>
        <v/>
      </c>
      <c r="K22" s="32">
        <f>IF($B22="",0,IFERROR(IF($D22="",INDEX(Assumptions!$B$14:$E$19,MIN(6,ROUNDUP(($C22+K$5)/3,0)),MATCH($B22,Assumptions!$B$4:$E$4,0)),IF(K$5&lt;$D22,0,INDEX(Assumptions!$B$14:$E$19,MIN(6,ROUNDUP((K$5-$D22+1)/3,0)),MATCH($B22,Assumptions!$B$4:$E$4,0)))),0))</f>
        <v/>
      </c>
      <c r="L22" s="32">
        <f>IF($B22="",0,IFERROR(IF($D22="",INDEX(Assumptions!$B$14:$E$19,MIN(6,ROUNDUP(($C22+L$5)/3,0)),MATCH($B22,Assumptions!$B$4:$E$4,0)),IF(L$5&lt;$D22,0,INDEX(Assumptions!$B$14:$E$19,MIN(6,ROUNDUP((L$5-$D22+1)/3,0)),MATCH($B22,Assumptions!$B$4:$E$4,0)))),0))</f>
        <v/>
      </c>
      <c r="M22" s="32">
        <f>IF($B22="",0,IFERROR(IF($D22="",INDEX(Assumptions!$B$14:$E$19,MIN(6,ROUNDUP(($C22+M$5)/3,0)),MATCH($B22,Assumptions!$B$4:$E$4,0)),IF(M$5&lt;$D22,0,INDEX(Assumptions!$B$14:$E$19,MIN(6,ROUNDUP((M$5-$D22+1)/3,0)),MATCH($B22,Assumptions!$B$4:$E$4,0)))),0))</f>
        <v/>
      </c>
      <c r="N22" s="32">
        <f>IF($B22="",0,IFERROR(IF($D22="",INDEX(Assumptions!$B$14:$E$19,MIN(6,ROUNDUP(($C22+N$5)/3,0)),MATCH($B22,Assumptions!$B$4:$E$4,0)),IF(N$5&lt;$D22,0,INDEX(Assumptions!$B$14:$E$19,MIN(6,ROUNDUP((N$5-$D22+1)/3,0)),MATCH($B22,Assumptions!$B$4:$E$4,0)))),0))</f>
        <v/>
      </c>
      <c r="O22" s="32">
        <f>IF($B22="",0,IFERROR(IF($D22="",INDEX(Assumptions!$B$14:$E$19,MIN(6,ROUNDUP(($C22+O$5)/3,0)),MATCH($B22,Assumptions!$B$4:$E$4,0)),IF(O$5&lt;$D22,0,INDEX(Assumptions!$B$14:$E$19,MIN(6,ROUNDUP((O$5-$D22+1)/3,0)),MATCH($B22,Assumptions!$B$4:$E$4,0)))),0))</f>
        <v/>
      </c>
      <c r="P22" s="32">
        <f>IF($B22="",0,IFERROR(IF($D22="",INDEX(Assumptions!$B$14:$E$19,MIN(6,ROUNDUP(($C22+P$5)/3,0)),MATCH($B22,Assumptions!$B$4:$E$4,0)),IF(P$5&lt;$D22,0,INDEX(Assumptions!$B$14:$E$19,MIN(6,ROUNDUP((P$5-$D22+1)/3,0)),MATCH($B22,Assumptions!$B$4:$E$4,0)))),0))</f>
        <v/>
      </c>
      <c r="Q22" s="32">
        <f>IF($B22="",0,IFERROR(IF($D22="",INDEX(Assumptions!$B$14:$E$19,MIN(6,ROUNDUP(($C22+Q$5)/3,0)),MATCH($B22,Assumptions!$B$4:$E$4,0)),IF(Q$5&lt;$D22,0,INDEX(Assumptions!$B$14:$E$19,MIN(6,ROUNDUP((Q$5-$D22+1)/3,0)),MATCH($B22,Assumptions!$B$4:$E$4,0)))),0))</f>
        <v/>
      </c>
      <c r="R22" s="32">
        <f>IF($B22="",0,IFERROR(IF($D22="",INDEX(Assumptions!$B$14:$E$19,MIN(6,ROUNDUP(($C22+R$5)/3,0)),MATCH($B22,Assumptions!$B$4:$E$4,0)),IF(R$5&lt;$D22,0,INDEX(Assumptions!$B$14:$E$19,MIN(6,ROUNDUP((R$5-$D22+1)/3,0)),MATCH($B22,Assumptions!$B$4:$E$4,0)))),0))</f>
        <v/>
      </c>
      <c r="S22" s="32">
        <f>SUM(G22:R22)</f>
        <v/>
      </c>
      <c r="T22" s="11">
        <f>E22/12*F22*S22</f>
        <v/>
      </c>
      <c r="U22" s="11">
        <f>IF($B22="",0,IF($D22="",E22,E22*(13-MIN(12,MAX(1,$D22)))/12))</f>
        <v/>
      </c>
    </row>
    <row r="23">
      <c r="A23" s="20" t="n"/>
      <c r="B23" s="20" t="n"/>
      <c r="C23" s="25" t="n"/>
      <c r="D23" s="25" t="n"/>
      <c r="E23" s="31">
        <f>IF($B23="",0,IFERROR(INDEX(Assumptions!$B$8:$E$8,1,MATCH($B23,Assumptions!$B$4:$E$4,0)),0))</f>
        <v/>
      </c>
      <c r="F23" s="12">
        <f>IF($B23="",0,IFERROR(INDEX(Assumptions!$B$9:$E$9,1,MATCH($B23,Assumptions!$B$4:$E$4,0)),0))</f>
        <v/>
      </c>
      <c r="G23" s="32">
        <f>IF($B23="",0,IFERROR(IF($D23="",INDEX(Assumptions!$B$14:$E$19,MIN(6,ROUNDUP(($C23+G$5)/3,0)),MATCH($B23,Assumptions!$B$4:$E$4,0)),IF(G$5&lt;$D23,0,INDEX(Assumptions!$B$14:$E$19,MIN(6,ROUNDUP((G$5-$D23+1)/3,0)),MATCH($B23,Assumptions!$B$4:$E$4,0)))),0))</f>
        <v/>
      </c>
      <c r="H23" s="32">
        <f>IF($B23="",0,IFERROR(IF($D23="",INDEX(Assumptions!$B$14:$E$19,MIN(6,ROUNDUP(($C23+H$5)/3,0)),MATCH($B23,Assumptions!$B$4:$E$4,0)),IF(H$5&lt;$D23,0,INDEX(Assumptions!$B$14:$E$19,MIN(6,ROUNDUP((H$5-$D23+1)/3,0)),MATCH($B23,Assumptions!$B$4:$E$4,0)))),0))</f>
        <v/>
      </c>
      <c r="I23" s="32">
        <f>IF($B23="",0,IFERROR(IF($D23="",INDEX(Assumptions!$B$14:$E$19,MIN(6,ROUNDUP(($C23+I$5)/3,0)),MATCH($B23,Assumptions!$B$4:$E$4,0)),IF(I$5&lt;$D23,0,INDEX(Assumptions!$B$14:$E$19,MIN(6,ROUNDUP((I$5-$D23+1)/3,0)),MATCH($B23,Assumptions!$B$4:$E$4,0)))),0))</f>
        <v/>
      </c>
      <c r="J23" s="32">
        <f>IF($B23="",0,IFERROR(IF($D23="",INDEX(Assumptions!$B$14:$E$19,MIN(6,ROUNDUP(($C23+J$5)/3,0)),MATCH($B23,Assumptions!$B$4:$E$4,0)),IF(J$5&lt;$D23,0,INDEX(Assumptions!$B$14:$E$19,MIN(6,ROUNDUP((J$5-$D23+1)/3,0)),MATCH($B23,Assumptions!$B$4:$E$4,0)))),0))</f>
        <v/>
      </c>
      <c r="K23" s="32">
        <f>IF($B23="",0,IFERROR(IF($D23="",INDEX(Assumptions!$B$14:$E$19,MIN(6,ROUNDUP(($C23+K$5)/3,0)),MATCH($B23,Assumptions!$B$4:$E$4,0)),IF(K$5&lt;$D23,0,INDEX(Assumptions!$B$14:$E$19,MIN(6,ROUNDUP((K$5-$D23+1)/3,0)),MATCH($B23,Assumptions!$B$4:$E$4,0)))),0))</f>
        <v/>
      </c>
      <c r="L23" s="32">
        <f>IF($B23="",0,IFERROR(IF($D23="",INDEX(Assumptions!$B$14:$E$19,MIN(6,ROUNDUP(($C23+L$5)/3,0)),MATCH($B23,Assumptions!$B$4:$E$4,0)),IF(L$5&lt;$D23,0,INDEX(Assumptions!$B$14:$E$19,MIN(6,ROUNDUP((L$5-$D23+1)/3,0)),MATCH($B23,Assumptions!$B$4:$E$4,0)))),0))</f>
        <v/>
      </c>
      <c r="M23" s="32">
        <f>IF($B23="",0,IFERROR(IF($D23="",INDEX(Assumptions!$B$14:$E$19,MIN(6,ROUNDUP(($C23+M$5)/3,0)),MATCH($B23,Assumptions!$B$4:$E$4,0)),IF(M$5&lt;$D23,0,INDEX(Assumptions!$B$14:$E$19,MIN(6,ROUNDUP((M$5-$D23+1)/3,0)),MATCH($B23,Assumptions!$B$4:$E$4,0)))),0))</f>
        <v/>
      </c>
      <c r="N23" s="32">
        <f>IF($B23="",0,IFERROR(IF($D23="",INDEX(Assumptions!$B$14:$E$19,MIN(6,ROUNDUP(($C23+N$5)/3,0)),MATCH($B23,Assumptions!$B$4:$E$4,0)),IF(N$5&lt;$D23,0,INDEX(Assumptions!$B$14:$E$19,MIN(6,ROUNDUP((N$5-$D23+1)/3,0)),MATCH($B23,Assumptions!$B$4:$E$4,0)))),0))</f>
        <v/>
      </c>
      <c r="O23" s="32">
        <f>IF($B23="",0,IFERROR(IF($D23="",INDEX(Assumptions!$B$14:$E$19,MIN(6,ROUNDUP(($C23+O$5)/3,0)),MATCH($B23,Assumptions!$B$4:$E$4,0)),IF(O$5&lt;$D23,0,INDEX(Assumptions!$B$14:$E$19,MIN(6,ROUNDUP((O$5-$D23+1)/3,0)),MATCH($B23,Assumptions!$B$4:$E$4,0)))),0))</f>
        <v/>
      </c>
      <c r="P23" s="32">
        <f>IF($B23="",0,IFERROR(IF($D23="",INDEX(Assumptions!$B$14:$E$19,MIN(6,ROUNDUP(($C23+P$5)/3,0)),MATCH($B23,Assumptions!$B$4:$E$4,0)),IF(P$5&lt;$D23,0,INDEX(Assumptions!$B$14:$E$19,MIN(6,ROUNDUP((P$5-$D23+1)/3,0)),MATCH($B23,Assumptions!$B$4:$E$4,0)))),0))</f>
        <v/>
      </c>
      <c r="Q23" s="32">
        <f>IF($B23="",0,IFERROR(IF($D23="",INDEX(Assumptions!$B$14:$E$19,MIN(6,ROUNDUP(($C23+Q$5)/3,0)),MATCH($B23,Assumptions!$B$4:$E$4,0)),IF(Q$5&lt;$D23,0,INDEX(Assumptions!$B$14:$E$19,MIN(6,ROUNDUP((Q$5-$D23+1)/3,0)),MATCH($B23,Assumptions!$B$4:$E$4,0)))),0))</f>
        <v/>
      </c>
      <c r="R23" s="32">
        <f>IF($B23="",0,IFERROR(IF($D23="",INDEX(Assumptions!$B$14:$E$19,MIN(6,ROUNDUP(($C23+R$5)/3,0)),MATCH($B23,Assumptions!$B$4:$E$4,0)),IF(R$5&lt;$D23,0,INDEX(Assumptions!$B$14:$E$19,MIN(6,ROUNDUP((R$5-$D23+1)/3,0)),MATCH($B23,Assumptions!$B$4:$E$4,0)))),0))</f>
        <v/>
      </c>
      <c r="S23" s="32">
        <f>SUM(G23:R23)</f>
        <v/>
      </c>
      <c r="T23" s="11">
        <f>E23/12*F23*S23</f>
        <v/>
      </c>
      <c r="U23" s="11">
        <f>IF($B23="",0,IF($D23="",E23,E23*(13-MIN(12,MAX(1,$D23)))/12))</f>
        <v/>
      </c>
    </row>
    <row r="24">
      <c r="A24" s="20" t="n"/>
      <c r="B24" s="20" t="n"/>
      <c r="C24" s="25" t="n"/>
      <c r="D24" s="25" t="n"/>
      <c r="E24" s="31">
        <f>IF($B24="",0,IFERROR(INDEX(Assumptions!$B$8:$E$8,1,MATCH($B24,Assumptions!$B$4:$E$4,0)),0))</f>
        <v/>
      </c>
      <c r="F24" s="12">
        <f>IF($B24="",0,IFERROR(INDEX(Assumptions!$B$9:$E$9,1,MATCH($B24,Assumptions!$B$4:$E$4,0)),0))</f>
        <v/>
      </c>
      <c r="G24" s="32">
        <f>IF($B24="",0,IFERROR(IF($D24="",INDEX(Assumptions!$B$14:$E$19,MIN(6,ROUNDUP(($C24+G$5)/3,0)),MATCH($B24,Assumptions!$B$4:$E$4,0)),IF(G$5&lt;$D24,0,INDEX(Assumptions!$B$14:$E$19,MIN(6,ROUNDUP((G$5-$D24+1)/3,0)),MATCH($B24,Assumptions!$B$4:$E$4,0)))),0))</f>
        <v/>
      </c>
      <c r="H24" s="32">
        <f>IF($B24="",0,IFERROR(IF($D24="",INDEX(Assumptions!$B$14:$E$19,MIN(6,ROUNDUP(($C24+H$5)/3,0)),MATCH($B24,Assumptions!$B$4:$E$4,0)),IF(H$5&lt;$D24,0,INDEX(Assumptions!$B$14:$E$19,MIN(6,ROUNDUP((H$5-$D24+1)/3,0)),MATCH($B24,Assumptions!$B$4:$E$4,0)))),0))</f>
        <v/>
      </c>
      <c r="I24" s="32">
        <f>IF($B24="",0,IFERROR(IF($D24="",INDEX(Assumptions!$B$14:$E$19,MIN(6,ROUNDUP(($C24+I$5)/3,0)),MATCH($B24,Assumptions!$B$4:$E$4,0)),IF(I$5&lt;$D24,0,INDEX(Assumptions!$B$14:$E$19,MIN(6,ROUNDUP((I$5-$D24+1)/3,0)),MATCH($B24,Assumptions!$B$4:$E$4,0)))),0))</f>
        <v/>
      </c>
      <c r="J24" s="32">
        <f>IF($B24="",0,IFERROR(IF($D24="",INDEX(Assumptions!$B$14:$E$19,MIN(6,ROUNDUP(($C24+J$5)/3,0)),MATCH($B24,Assumptions!$B$4:$E$4,0)),IF(J$5&lt;$D24,0,INDEX(Assumptions!$B$14:$E$19,MIN(6,ROUNDUP((J$5-$D24+1)/3,0)),MATCH($B24,Assumptions!$B$4:$E$4,0)))),0))</f>
        <v/>
      </c>
      <c r="K24" s="32">
        <f>IF($B24="",0,IFERROR(IF($D24="",INDEX(Assumptions!$B$14:$E$19,MIN(6,ROUNDUP(($C24+K$5)/3,0)),MATCH($B24,Assumptions!$B$4:$E$4,0)),IF(K$5&lt;$D24,0,INDEX(Assumptions!$B$14:$E$19,MIN(6,ROUNDUP((K$5-$D24+1)/3,0)),MATCH($B24,Assumptions!$B$4:$E$4,0)))),0))</f>
        <v/>
      </c>
      <c r="L24" s="32">
        <f>IF($B24="",0,IFERROR(IF($D24="",INDEX(Assumptions!$B$14:$E$19,MIN(6,ROUNDUP(($C24+L$5)/3,0)),MATCH($B24,Assumptions!$B$4:$E$4,0)),IF(L$5&lt;$D24,0,INDEX(Assumptions!$B$14:$E$19,MIN(6,ROUNDUP((L$5-$D24+1)/3,0)),MATCH($B24,Assumptions!$B$4:$E$4,0)))),0))</f>
        <v/>
      </c>
      <c r="M24" s="32">
        <f>IF($B24="",0,IFERROR(IF($D24="",INDEX(Assumptions!$B$14:$E$19,MIN(6,ROUNDUP(($C24+M$5)/3,0)),MATCH($B24,Assumptions!$B$4:$E$4,0)),IF(M$5&lt;$D24,0,INDEX(Assumptions!$B$14:$E$19,MIN(6,ROUNDUP((M$5-$D24+1)/3,0)),MATCH($B24,Assumptions!$B$4:$E$4,0)))),0))</f>
        <v/>
      </c>
      <c r="N24" s="32">
        <f>IF($B24="",0,IFERROR(IF($D24="",INDEX(Assumptions!$B$14:$E$19,MIN(6,ROUNDUP(($C24+N$5)/3,0)),MATCH($B24,Assumptions!$B$4:$E$4,0)),IF(N$5&lt;$D24,0,INDEX(Assumptions!$B$14:$E$19,MIN(6,ROUNDUP((N$5-$D24+1)/3,0)),MATCH($B24,Assumptions!$B$4:$E$4,0)))),0))</f>
        <v/>
      </c>
      <c r="O24" s="32">
        <f>IF($B24="",0,IFERROR(IF($D24="",INDEX(Assumptions!$B$14:$E$19,MIN(6,ROUNDUP(($C24+O$5)/3,0)),MATCH($B24,Assumptions!$B$4:$E$4,0)),IF(O$5&lt;$D24,0,INDEX(Assumptions!$B$14:$E$19,MIN(6,ROUNDUP((O$5-$D24+1)/3,0)),MATCH($B24,Assumptions!$B$4:$E$4,0)))),0))</f>
        <v/>
      </c>
      <c r="P24" s="32">
        <f>IF($B24="",0,IFERROR(IF($D24="",INDEX(Assumptions!$B$14:$E$19,MIN(6,ROUNDUP(($C24+P$5)/3,0)),MATCH($B24,Assumptions!$B$4:$E$4,0)),IF(P$5&lt;$D24,0,INDEX(Assumptions!$B$14:$E$19,MIN(6,ROUNDUP((P$5-$D24+1)/3,0)),MATCH($B24,Assumptions!$B$4:$E$4,0)))),0))</f>
        <v/>
      </c>
      <c r="Q24" s="32">
        <f>IF($B24="",0,IFERROR(IF($D24="",INDEX(Assumptions!$B$14:$E$19,MIN(6,ROUNDUP(($C24+Q$5)/3,0)),MATCH($B24,Assumptions!$B$4:$E$4,0)),IF(Q$5&lt;$D24,0,INDEX(Assumptions!$B$14:$E$19,MIN(6,ROUNDUP((Q$5-$D24+1)/3,0)),MATCH($B24,Assumptions!$B$4:$E$4,0)))),0))</f>
        <v/>
      </c>
      <c r="R24" s="32">
        <f>IF($B24="",0,IFERROR(IF($D24="",INDEX(Assumptions!$B$14:$E$19,MIN(6,ROUNDUP(($C24+R$5)/3,0)),MATCH($B24,Assumptions!$B$4:$E$4,0)),IF(R$5&lt;$D24,0,INDEX(Assumptions!$B$14:$E$19,MIN(6,ROUNDUP((R$5-$D24+1)/3,0)),MATCH($B24,Assumptions!$B$4:$E$4,0)))),0))</f>
        <v/>
      </c>
      <c r="S24" s="32">
        <f>SUM(G24:R24)</f>
        <v/>
      </c>
      <c r="T24" s="11">
        <f>E24/12*F24*S24</f>
        <v/>
      </c>
      <c r="U24" s="11">
        <f>IF($B24="",0,IF($D24="",E24,E24*(13-MIN(12,MAX(1,$D24)))/12))</f>
        <v/>
      </c>
    </row>
    <row r="25">
      <c r="A25" s="20" t="n"/>
      <c r="B25" s="20" t="n"/>
      <c r="C25" s="25" t="n"/>
      <c r="D25" s="25" t="n"/>
      <c r="E25" s="31">
        <f>IF($B25="",0,IFERROR(INDEX(Assumptions!$B$8:$E$8,1,MATCH($B25,Assumptions!$B$4:$E$4,0)),0))</f>
        <v/>
      </c>
      <c r="F25" s="12">
        <f>IF($B25="",0,IFERROR(INDEX(Assumptions!$B$9:$E$9,1,MATCH($B25,Assumptions!$B$4:$E$4,0)),0))</f>
        <v/>
      </c>
      <c r="G25" s="32">
        <f>IF($B25="",0,IFERROR(IF($D25="",INDEX(Assumptions!$B$14:$E$19,MIN(6,ROUNDUP(($C25+G$5)/3,0)),MATCH($B25,Assumptions!$B$4:$E$4,0)),IF(G$5&lt;$D25,0,INDEX(Assumptions!$B$14:$E$19,MIN(6,ROUNDUP((G$5-$D25+1)/3,0)),MATCH($B25,Assumptions!$B$4:$E$4,0)))),0))</f>
        <v/>
      </c>
      <c r="H25" s="32">
        <f>IF($B25="",0,IFERROR(IF($D25="",INDEX(Assumptions!$B$14:$E$19,MIN(6,ROUNDUP(($C25+H$5)/3,0)),MATCH($B25,Assumptions!$B$4:$E$4,0)),IF(H$5&lt;$D25,0,INDEX(Assumptions!$B$14:$E$19,MIN(6,ROUNDUP((H$5-$D25+1)/3,0)),MATCH($B25,Assumptions!$B$4:$E$4,0)))),0))</f>
        <v/>
      </c>
      <c r="I25" s="32">
        <f>IF($B25="",0,IFERROR(IF($D25="",INDEX(Assumptions!$B$14:$E$19,MIN(6,ROUNDUP(($C25+I$5)/3,0)),MATCH($B25,Assumptions!$B$4:$E$4,0)),IF(I$5&lt;$D25,0,INDEX(Assumptions!$B$14:$E$19,MIN(6,ROUNDUP((I$5-$D25+1)/3,0)),MATCH($B25,Assumptions!$B$4:$E$4,0)))),0))</f>
        <v/>
      </c>
      <c r="J25" s="32">
        <f>IF($B25="",0,IFERROR(IF($D25="",INDEX(Assumptions!$B$14:$E$19,MIN(6,ROUNDUP(($C25+J$5)/3,0)),MATCH($B25,Assumptions!$B$4:$E$4,0)),IF(J$5&lt;$D25,0,INDEX(Assumptions!$B$14:$E$19,MIN(6,ROUNDUP((J$5-$D25+1)/3,0)),MATCH($B25,Assumptions!$B$4:$E$4,0)))),0))</f>
        <v/>
      </c>
      <c r="K25" s="32">
        <f>IF($B25="",0,IFERROR(IF($D25="",INDEX(Assumptions!$B$14:$E$19,MIN(6,ROUNDUP(($C25+K$5)/3,0)),MATCH($B25,Assumptions!$B$4:$E$4,0)),IF(K$5&lt;$D25,0,INDEX(Assumptions!$B$14:$E$19,MIN(6,ROUNDUP((K$5-$D25+1)/3,0)),MATCH($B25,Assumptions!$B$4:$E$4,0)))),0))</f>
        <v/>
      </c>
      <c r="L25" s="32">
        <f>IF($B25="",0,IFERROR(IF($D25="",INDEX(Assumptions!$B$14:$E$19,MIN(6,ROUNDUP(($C25+L$5)/3,0)),MATCH($B25,Assumptions!$B$4:$E$4,0)),IF(L$5&lt;$D25,0,INDEX(Assumptions!$B$14:$E$19,MIN(6,ROUNDUP((L$5-$D25+1)/3,0)),MATCH($B25,Assumptions!$B$4:$E$4,0)))),0))</f>
        <v/>
      </c>
      <c r="M25" s="32">
        <f>IF($B25="",0,IFERROR(IF($D25="",INDEX(Assumptions!$B$14:$E$19,MIN(6,ROUNDUP(($C25+M$5)/3,0)),MATCH($B25,Assumptions!$B$4:$E$4,0)),IF(M$5&lt;$D25,0,INDEX(Assumptions!$B$14:$E$19,MIN(6,ROUNDUP((M$5-$D25+1)/3,0)),MATCH($B25,Assumptions!$B$4:$E$4,0)))),0))</f>
        <v/>
      </c>
      <c r="N25" s="32">
        <f>IF($B25="",0,IFERROR(IF($D25="",INDEX(Assumptions!$B$14:$E$19,MIN(6,ROUNDUP(($C25+N$5)/3,0)),MATCH($B25,Assumptions!$B$4:$E$4,0)),IF(N$5&lt;$D25,0,INDEX(Assumptions!$B$14:$E$19,MIN(6,ROUNDUP((N$5-$D25+1)/3,0)),MATCH($B25,Assumptions!$B$4:$E$4,0)))),0))</f>
        <v/>
      </c>
      <c r="O25" s="32">
        <f>IF($B25="",0,IFERROR(IF($D25="",INDEX(Assumptions!$B$14:$E$19,MIN(6,ROUNDUP(($C25+O$5)/3,0)),MATCH($B25,Assumptions!$B$4:$E$4,0)),IF(O$5&lt;$D25,0,INDEX(Assumptions!$B$14:$E$19,MIN(6,ROUNDUP((O$5-$D25+1)/3,0)),MATCH($B25,Assumptions!$B$4:$E$4,0)))),0))</f>
        <v/>
      </c>
      <c r="P25" s="32">
        <f>IF($B25="",0,IFERROR(IF($D25="",INDEX(Assumptions!$B$14:$E$19,MIN(6,ROUNDUP(($C25+P$5)/3,0)),MATCH($B25,Assumptions!$B$4:$E$4,0)),IF(P$5&lt;$D25,0,INDEX(Assumptions!$B$14:$E$19,MIN(6,ROUNDUP((P$5-$D25+1)/3,0)),MATCH($B25,Assumptions!$B$4:$E$4,0)))),0))</f>
        <v/>
      </c>
      <c r="Q25" s="32">
        <f>IF($B25="",0,IFERROR(IF($D25="",INDEX(Assumptions!$B$14:$E$19,MIN(6,ROUNDUP(($C25+Q$5)/3,0)),MATCH($B25,Assumptions!$B$4:$E$4,0)),IF(Q$5&lt;$D25,0,INDEX(Assumptions!$B$14:$E$19,MIN(6,ROUNDUP((Q$5-$D25+1)/3,0)),MATCH($B25,Assumptions!$B$4:$E$4,0)))),0))</f>
        <v/>
      </c>
      <c r="R25" s="32">
        <f>IF($B25="",0,IFERROR(IF($D25="",INDEX(Assumptions!$B$14:$E$19,MIN(6,ROUNDUP(($C25+R$5)/3,0)),MATCH($B25,Assumptions!$B$4:$E$4,0)),IF(R$5&lt;$D25,0,INDEX(Assumptions!$B$14:$E$19,MIN(6,ROUNDUP((R$5-$D25+1)/3,0)),MATCH($B25,Assumptions!$B$4:$E$4,0)))),0))</f>
        <v/>
      </c>
      <c r="S25" s="32">
        <f>SUM(G25:R25)</f>
        <v/>
      </c>
      <c r="T25" s="11">
        <f>E25/12*F25*S25</f>
        <v/>
      </c>
      <c r="U25" s="11">
        <f>IF($B25="",0,IF($D25="",E25,E25*(13-MIN(12,MAX(1,$D25)))/12))</f>
        <v/>
      </c>
    </row>
    <row r="26">
      <c r="A26" s="20" t="n"/>
      <c r="B26" s="20" t="n"/>
      <c r="C26" s="25" t="n"/>
      <c r="D26" s="25" t="n"/>
      <c r="E26" s="31">
        <f>IF($B26="",0,IFERROR(INDEX(Assumptions!$B$8:$E$8,1,MATCH($B26,Assumptions!$B$4:$E$4,0)),0))</f>
        <v/>
      </c>
      <c r="F26" s="12">
        <f>IF($B26="",0,IFERROR(INDEX(Assumptions!$B$9:$E$9,1,MATCH($B26,Assumptions!$B$4:$E$4,0)),0))</f>
        <v/>
      </c>
      <c r="G26" s="32">
        <f>IF($B26="",0,IFERROR(IF($D26="",INDEX(Assumptions!$B$14:$E$19,MIN(6,ROUNDUP(($C26+G$5)/3,0)),MATCH($B26,Assumptions!$B$4:$E$4,0)),IF(G$5&lt;$D26,0,INDEX(Assumptions!$B$14:$E$19,MIN(6,ROUNDUP((G$5-$D26+1)/3,0)),MATCH($B26,Assumptions!$B$4:$E$4,0)))),0))</f>
        <v/>
      </c>
      <c r="H26" s="32">
        <f>IF($B26="",0,IFERROR(IF($D26="",INDEX(Assumptions!$B$14:$E$19,MIN(6,ROUNDUP(($C26+H$5)/3,0)),MATCH($B26,Assumptions!$B$4:$E$4,0)),IF(H$5&lt;$D26,0,INDEX(Assumptions!$B$14:$E$19,MIN(6,ROUNDUP((H$5-$D26+1)/3,0)),MATCH($B26,Assumptions!$B$4:$E$4,0)))),0))</f>
        <v/>
      </c>
      <c r="I26" s="32">
        <f>IF($B26="",0,IFERROR(IF($D26="",INDEX(Assumptions!$B$14:$E$19,MIN(6,ROUNDUP(($C26+I$5)/3,0)),MATCH($B26,Assumptions!$B$4:$E$4,0)),IF(I$5&lt;$D26,0,INDEX(Assumptions!$B$14:$E$19,MIN(6,ROUNDUP((I$5-$D26+1)/3,0)),MATCH($B26,Assumptions!$B$4:$E$4,0)))),0))</f>
        <v/>
      </c>
      <c r="J26" s="32">
        <f>IF($B26="",0,IFERROR(IF($D26="",INDEX(Assumptions!$B$14:$E$19,MIN(6,ROUNDUP(($C26+J$5)/3,0)),MATCH($B26,Assumptions!$B$4:$E$4,0)),IF(J$5&lt;$D26,0,INDEX(Assumptions!$B$14:$E$19,MIN(6,ROUNDUP((J$5-$D26+1)/3,0)),MATCH($B26,Assumptions!$B$4:$E$4,0)))),0))</f>
        <v/>
      </c>
      <c r="K26" s="32">
        <f>IF($B26="",0,IFERROR(IF($D26="",INDEX(Assumptions!$B$14:$E$19,MIN(6,ROUNDUP(($C26+K$5)/3,0)),MATCH($B26,Assumptions!$B$4:$E$4,0)),IF(K$5&lt;$D26,0,INDEX(Assumptions!$B$14:$E$19,MIN(6,ROUNDUP((K$5-$D26+1)/3,0)),MATCH($B26,Assumptions!$B$4:$E$4,0)))),0))</f>
        <v/>
      </c>
      <c r="L26" s="32">
        <f>IF($B26="",0,IFERROR(IF($D26="",INDEX(Assumptions!$B$14:$E$19,MIN(6,ROUNDUP(($C26+L$5)/3,0)),MATCH($B26,Assumptions!$B$4:$E$4,0)),IF(L$5&lt;$D26,0,INDEX(Assumptions!$B$14:$E$19,MIN(6,ROUNDUP((L$5-$D26+1)/3,0)),MATCH($B26,Assumptions!$B$4:$E$4,0)))),0))</f>
        <v/>
      </c>
      <c r="M26" s="32">
        <f>IF($B26="",0,IFERROR(IF($D26="",INDEX(Assumptions!$B$14:$E$19,MIN(6,ROUNDUP(($C26+M$5)/3,0)),MATCH($B26,Assumptions!$B$4:$E$4,0)),IF(M$5&lt;$D26,0,INDEX(Assumptions!$B$14:$E$19,MIN(6,ROUNDUP((M$5-$D26+1)/3,0)),MATCH($B26,Assumptions!$B$4:$E$4,0)))),0))</f>
        <v/>
      </c>
      <c r="N26" s="32">
        <f>IF($B26="",0,IFERROR(IF($D26="",INDEX(Assumptions!$B$14:$E$19,MIN(6,ROUNDUP(($C26+N$5)/3,0)),MATCH($B26,Assumptions!$B$4:$E$4,0)),IF(N$5&lt;$D26,0,INDEX(Assumptions!$B$14:$E$19,MIN(6,ROUNDUP((N$5-$D26+1)/3,0)),MATCH($B26,Assumptions!$B$4:$E$4,0)))),0))</f>
        <v/>
      </c>
      <c r="O26" s="32">
        <f>IF($B26="",0,IFERROR(IF($D26="",INDEX(Assumptions!$B$14:$E$19,MIN(6,ROUNDUP(($C26+O$5)/3,0)),MATCH($B26,Assumptions!$B$4:$E$4,0)),IF(O$5&lt;$D26,0,INDEX(Assumptions!$B$14:$E$19,MIN(6,ROUNDUP((O$5-$D26+1)/3,0)),MATCH($B26,Assumptions!$B$4:$E$4,0)))),0))</f>
        <v/>
      </c>
      <c r="P26" s="32">
        <f>IF($B26="",0,IFERROR(IF($D26="",INDEX(Assumptions!$B$14:$E$19,MIN(6,ROUNDUP(($C26+P$5)/3,0)),MATCH($B26,Assumptions!$B$4:$E$4,0)),IF(P$5&lt;$D26,0,INDEX(Assumptions!$B$14:$E$19,MIN(6,ROUNDUP((P$5-$D26+1)/3,0)),MATCH($B26,Assumptions!$B$4:$E$4,0)))),0))</f>
        <v/>
      </c>
      <c r="Q26" s="32">
        <f>IF($B26="",0,IFERROR(IF($D26="",INDEX(Assumptions!$B$14:$E$19,MIN(6,ROUNDUP(($C26+Q$5)/3,0)),MATCH($B26,Assumptions!$B$4:$E$4,0)),IF(Q$5&lt;$D26,0,INDEX(Assumptions!$B$14:$E$19,MIN(6,ROUNDUP((Q$5-$D26+1)/3,0)),MATCH($B26,Assumptions!$B$4:$E$4,0)))),0))</f>
        <v/>
      </c>
      <c r="R26" s="32">
        <f>IF($B26="",0,IFERROR(IF($D26="",INDEX(Assumptions!$B$14:$E$19,MIN(6,ROUNDUP(($C26+R$5)/3,0)),MATCH($B26,Assumptions!$B$4:$E$4,0)),IF(R$5&lt;$D26,0,INDEX(Assumptions!$B$14:$E$19,MIN(6,ROUNDUP((R$5-$D26+1)/3,0)),MATCH($B26,Assumptions!$B$4:$E$4,0)))),0))</f>
        <v/>
      </c>
      <c r="S26" s="32">
        <f>SUM(G26:R26)</f>
        <v/>
      </c>
      <c r="T26" s="11">
        <f>E26/12*F26*S26</f>
        <v/>
      </c>
      <c r="U26" s="11">
        <f>IF($B26="",0,IF($D26="",E26,E26*(13-MIN(12,MAX(1,$D26)))/12))</f>
        <v/>
      </c>
    </row>
    <row r="27">
      <c r="A27" s="20" t="n"/>
      <c r="B27" s="20" t="n"/>
      <c r="C27" s="25" t="n"/>
      <c r="D27" s="25" t="n"/>
      <c r="E27" s="31">
        <f>IF($B27="",0,IFERROR(INDEX(Assumptions!$B$8:$E$8,1,MATCH($B27,Assumptions!$B$4:$E$4,0)),0))</f>
        <v/>
      </c>
      <c r="F27" s="12">
        <f>IF($B27="",0,IFERROR(INDEX(Assumptions!$B$9:$E$9,1,MATCH($B27,Assumptions!$B$4:$E$4,0)),0))</f>
        <v/>
      </c>
      <c r="G27" s="32">
        <f>IF($B27="",0,IFERROR(IF($D27="",INDEX(Assumptions!$B$14:$E$19,MIN(6,ROUNDUP(($C27+G$5)/3,0)),MATCH($B27,Assumptions!$B$4:$E$4,0)),IF(G$5&lt;$D27,0,INDEX(Assumptions!$B$14:$E$19,MIN(6,ROUNDUP((G$5-$D27+1)/3,0)),MATCH($B27,Assumptions!$B$4:$E$4,0)))),0))</f>
        <v/>
      </c>
      <c r="H27" s="32">
        <f>IF($B27="",0,IFERROR(IF($D27="",INDEX(Assumptions!$B$14:$E$19,MIN(6,ROUNDUP(($C27+H$5)/3,0)),MATCH($B27,Assumptions!$B$4:$E$4,0)),IF(H$5&lt;$D27,0,INDEX(Assumptions!$B$14:$E$19,MIN(6,ROUNDUP((H$5-$D27+1)/3,0)),MATCH($B27,Assumptions!$B$4:$E$4,0)))),0))</f>
        <v/>
      </c>
      <c r="I27" s="32">
        <f>IF($B27="",0,IFERROR(IF($D27="",INDEX(Assumptions!$B$14:$E$19,MIN(6,ROUNDUP(($C27+I$5)/3,0)),MATCH($B27,Assumptions!$B$4:$E$4,0)),IF(I$5&lt;$D27,0,INDEX(Assumptions!$B$14:$E$19,MIN(6,ROUNDUP((I$5-$D27+1)/3,0)),MATCH($B27,Assumptions!$B$4:$E$4,0)))),0))</f>
        <v/>
      </c>
      <c r="J27" s="32">
        <f>IF($B27="",0,IFERROR(IF($D27="",INDEX(Assumptions!$B$14:$E$19,MIN(6,ROUNDUP(($C27+J$5)/3,0)),MATCH($B27,Assumptions!$B$4:$E$4,0)),IF(J$5&lt;$D27,0,INDEX(Assumptions!$B$14:$E$19,MIN(6,ROUNDUP((J$5-$D27+1)/3,0)),MATCH($B27,Assumptions!$B$4:$E$4,0)))),0))</f>
        <v/>
      </c>
      <c r="K27" s="32">
        <f>IF($B27="",0,IFERROR(IF($D27="",INDEX(Assumptions!$B$14:$E$19,MIN(6,ROUNDUP(($C27+K$5)/3,0)),MATCH($B27,Assumptions!$B$4:$E$4,0)),IF(K$5&lt;$D27,0,INDEX(Assumptions!$B$14:$E$19,MIN(6,ROUNDUP((K$5-$D27+1)/3,0)),MATCH($B27,Assumptions!$B$4:$E$4,0)))),0))</f>
        <v/>
      </c>
      <c r="L27" s="32">
        <f>IF($B27="",0,IFERROR(IF($D27="",INDEX(Assumptions!$B$14:$E$19,MIN(6,ROUNDUP(($C27+L$5)/3,0)),MATCH($B27,Assumptions!$B$4:$E$4,0)),IF(L$5&lt;$D27,0,INDEX(Assumptions!$B$14:$E$19,MIN(6,ROUNDUP((L$5-$D27+1)/3,0)),MATCH($B27,Assumptions!$B$4:$E$4,0)))),0))</f>
        <v/>
      </c>
      <c r="M27" s="32">
        <f>IF($B27="",0,IFERROR(IF($D27="",INDEX(Assumptions!$B$14:$E$19,MIN(6,ROUNDUP(($C27+M$5)/3,0)),MATCH($B27,Assumptions!$B$4:$E$4,0)),IF(M$5&lt;$D27,0,INDEX(Assumptions!$B$14:$E$19,MIN(6,ROUNDUP((M$5-$D27+1)/3,0)),MATCH($B27,Assumptions!$B$4:$E$4,0)))),0))</f>
        <v/>
      </c>
      <c r="N27" s="32">
        <f>IF($B27="",0,IFERROR(IF($D27="",INDEX(Assumptions!$B$14:$E$19,MIN(6,ROUNDUP(($C27+N$5)/3,0)),MATCH($B27,Assumptions!$B$4:$E$4,0)),IF(N$5&lt;$D27,0,INDEX(Assumptions!$B$14:$E$19,MIN(6,ROUNDUP((N$5-$D27+1)/3,0)),MATCH($B27,Assumptions!$B$4:$E$4,0)))),0))</f>
        <v/>
      </c>
      <c r="O27" s="32">
        <f>IF($B27="",0,IFERROR(IF($D27="",INDEX(Assumptions!$B$14:$E$19,MIN(6,ROUNDUP(($C27+O$5)/3,0)),MATCH($B27,Assumptions!$B$4:$E$4,0)),IF(O$5&lt;$D27,0,INDEX(Assumptions!$B$14:$E$19,MIN(6,ROUNDUP((O$5-$D27+1)/3,0)),MATCH($B27,Assumptions!$B$4:$E$4,0)))),0))</f>
        <v/>
      </c>
      <c r="P27" s="32">
        <f>IF($B27="",0,IFERROR(IF($D27="",INDEX(Assumptions!$B$14:$E$19,MIN(6,ROUNDUP(($C27+P$5)/3,0)),MATCH($B27,Assumptions!$B$4:$E$4,0)),IF(P$5&lt;$D27,0,INDEX(Assumptions!$B$14:$E$19,MIN(6,ROUNDUP((P$5-$D27+1)/3,0)),MATCH($B27,Assumptions!$B$4:$E$4,0)))),0))</f>
        <v/>
      </c>
      <c r="Q27" s="32">
        <f>IF($B27="",0,IFERROR(IF($D27="",INDEX(Assumptions!$B$14:$E$19,MIN(6,ROUNDUP(($C27+Q$5)/3,0)),MATCH($B27,Assumptions!$B$4:$E$4,0)),IF(Q$5&lt;$D27,0,INDEX(Assumptions!$B$14:$E$19,MIN(6,ROUNDUP((Q$5-$D27+1)/3,0)),MATCH($B27,Assumptions!$B$4:$E$4,0)))),0))</f>
        <v/>
      </c>
      <c r="R27" s="32">
        <f>IF($B27="",0,IFERROR(IF($D27="",INDEX(Assumptions!$B$14:$E$19,MIN(6,ROUNDUP(($C27+R$5)/3,0)),MATCH($B27,Assumptions!$B$4:$E$4,0)),IF(R$5&lt;$D27,0,INDEX(Assumptions!$B$14:$E$19,MIN(6,ROUNDUP((R$5-$D27+1)/3,0)),MATCH($B27,Assumptions!$B$4:$E$4,0)))),0))</f>
        <v/>
      </c>
      <c r="S27" s="32">
        <f>SUM(G27:R27)</f>
        <v/>
      </c>
      <c r="T27" s="11">
        <f>E27/12*F27*S27</f>
        <v/>
      </c>
      <c r="U27" s="11">
        <f>IF($B27="",0,IF($D27="",E27,E27*(13-MIN(12,MAX(1,$D27)))/12))</f>
        <v/>
      </c>
    </row>
    <row r="28">
      <c r="A28" s="20" t="n"/>
      <c r="B28" s="20" t="n"/>
      <c r="C28" s="25" t="n"/>
      <c r="D28" s="25" t="n"/>
      <c r="E28" s="31">
        <f>IF($B28="",0,IFERROR(INDEX(Assumptions!$B$8:$E$8,1,MATCH($B28,Assumptions!$B$4:$E$4,0)),0))</f>
        <v/>
      </c>
      <c r="F28" s="12">
        <f>IF($B28="",0,IFERROR(INDEX(Assumptions!$B$9:$E$9,1,MATCH($B28,Assumptions!$B$4:$E$4,0)),0))</f>
        <v/>
      </c>
      <c r="G28" s="32">
        <f>IF($B28="",0,IFERROR(IF($D28="",INDEX(Assumptions!$B$14:$E$19,MIN(6,ROUNDUP(($C28+G$5)/3,0)),MATCH($B28,Assumptions!$B$4:$E$4,0)),IF(G$5&lt;$D28,0,INDEX(Assumptions!$B$14:$E$19,MIN(6,ROUNDUP((G$5-$D28+1)/3,0)),MATCH($B28,Assumptions!$B$4:$E$4,0)))),0))</f>
        <v/>
      </c>
      <c r="H28" s="32">
        <f>IF($B28="",0,IFERROR(IF($D28="",INDEX(Assumptions!$B$14:$E$19,MIN(6,ROUNDUP(($C28+H$5)/3,0)),MATCH($B28,Assumptions!$B$4:$E$4,0)),IF(H$5&lt;$D28,0,INDEX(Assumptions!$B$14:$E$19,MIN(6,ROUNDUP((H$5-$D28+1)/3,0)),MATCH($B28,Assumptions!$B$4:$E$4,0)))),0))</f>
        <v/>
      </c>
      <c r="I28" s="32">
        <f>IF($B28="",0,IFERROR(IF($D28="",INDEX(Assumptions!$B$14:$E$19,MIN(6,ROUNDUP(($C28+I$5)/3,0)),MATCH($B28,Assumptions!$B$4:$E$4,0)),IF(I$5&lt;$D28,0,INDEX(Assumptions!$B$14:$E$19,MIN(6,ROUNDUP((I$5-$D28+1)/3,0)),MATCH($B28,Assumptions!$B$4:$E$4,0)))),0))</f>
        <v/>
      </c>
      <c r="J28" s="32">
        <f>IF($B28="",0,IFERROR(IF($D28="",INDEX(Assumptions!$B$14:$E$19,MIN(6,ROUNDUP(($C28+J$5)/3,0)),MATCH($B28,Assumptions!$B$4:$E$4,0)),IF(J$5&lt;$D28,0,INDEX(Assumptions!$B$14:$E$19,MIN(6,ROUNDUP((J$5-$D28+1)/3,0)),MATCH($B28,Assumptions!$B$4:$E$4,0)))),0))</f>
        <v/>
      </c>
      <c r="K28" s="32">
        <f>IF($B28="",0,IFERROR(IF($D28="",INDEX(Assumptions!$B$14:$E$19,MIN(6,ROUNDUP(($C28+K$5)/3,0)),MATCH($B28,Assumptions!$B$4:$E$4,0)),IF(K$5&lt;$D28,0,INDEX(Assumptions!$B$14:$E$19,MIN(6,ROUNDUP((K$5-$D28+1)/3,0)),MATCH($B28,Assumptions!$B$4:$E$4,0)))),0))</f>
        <v/>
      </c>
      <c r="L28" s="32">
        <f>IF($B28="",0,IFERROR(IF($D28="",INDEX(Assumptions!$B$14:$E$19,MIN(6,ROUNDUP(($C28+L$5)/3,0)),MATCH($B28,Assumptions!$B$4:$E$4,0)),IF(L$5&lt;$D28,0,INDEX(Assumptions!$B$14:$E$19,MIN(6,ROUNDUP((L$5-$D28+1)/3,0)),MATCH($B28,Assumptions!$B$4:$E$4,0)))),0))</f>
        <v/>
      </c>
      <c r="M28" s="32">
        <f>IF($B28="",0,IFERROR(IF($D28="",INDEX(Assumptions!$B$14:$E$19,MIN(6,ROUNDUP(($C28+M$5)/3,0)),MATCH($B28,Assumptions!$B$4:$E$4,0)),IF(M$5&lt;$D28,0,INDEX(Assumptions!$B$14:$E$19,MIN(6,ROUNDUP((M$5-$D28+1)/3,0)),MATCH($B28,Assumptions!$B$4:$E$4,0)))),0))</f>
        <v/>
      </c>
      <c r="N28" s="32">
        <f>IF($B28="",0,IFERROR(IF($D28="",INDEX(Assumptions!$B$14:$E$19,MIN(6,ROUNDUP(($C28+N$5)/3,0)),MATCH($B28,Assumptions!$B$4:$E$4,0)),IF(N$5&lt;$D28,0,INDEX(Assumptions!$B$14:$E$19,MIN(6,ROUNDUP((N$5-$D28+1)/3,0)),MATCH($B28,Assumptions!$B$4:$E$4,0)))),0))</f>
        <v/>
      </c>
      <c r="O28" s="32">
        <f>IF($B28="",0,IFERROR(IF($D28="",INDEX(Assumptions!$B$14:$E$19,MIN(6,ROUNDUP(($C28+O$5)/3,0)),MATCH($B28,Assumptions!$B$4:$E$4,0)),IF(O$5&lt;$D28,0,INDEX(Assumptions!$B$14:$E$19,MIN(6,ROUNDUP((O$5-$D28+1)/3,0)),MATCH($B28,Assumptions!$B$4:$E$4,0)))),0))</f>
        <v/>
      </c>
      <c r="P28" s="32">
        <f>IF($B28="",0,IFERROR(IF($D28="",INDEX(Assumptions!$B$14:$E$19,MIN(6,ROUNDUP(($C28+P$5)/3,0)),MATCH($B28,Assumptions!$B$4:$E$4,0)),IF(P$5&lt;$D28,0,INDEX(Assumptions!$B$14:$E$19,MIN(6,ROUNDUP((P$5-$D28+1)/3,0)),MATCH($B28,Assumptions!$B$4:$E$4,0)))),0))</f>
        <v/>
      </c>
      <c r="Q28" s="32">
        <f>IF($B28="",0,IFERROR(IF($D28="",INDEX(Assumptions!$B$14:$E$19,MIN(6,ROUNDUP(($C28+Q$5)/3,0)),MATCH($B28,Assumptions!$B$4:$E$4,0)),IF(Q$5&lt;$D28,0,INDEX(Assumptions!$B$14:$E$19,MIN(6,ROUNDUP((Q$5-$D28+1)/3,0)),MATCH($B28,Assumptions!$B$4:$E$4,0)))),0))</f>
        <v/>
      </c>
      <c r="R28" s="32">
        <f>IF($B28="",0,IFERROR(IF($D28="",INDEX(Assumptions!$B$14:$E$19,MIN(6,ROUNDUP(($C28+R$5)/3,0)),MATCH($B28,Assumptions!$B$4:$E$4,0)),IF(R$5&lt;$D28,0,INDEX(Assumptions!$B$14:$E$19,MIN(6,ROUNDUP((R$5-$D28+1)/3,0)),MATCH($B28,Assumptions!$B$4:$E$4,0)))),0))</f>
        <v/>
      </c>
      <c r="S28" s="32">
        <f>SUM(G28:R28)</f>
        <v/>
      </c>
      <c r="T28" s="11">
        <f>E28/12*F28*S28</f>
        <v/>
      </c>
      <c r="U28" s="11">
        <f>IF($B28="",0,IF($D28="",E28,E28*(13-MIN(12,MAX(1,$D28)))/12))</f>
        <v/>
      </c>
    </row>
    <row r="29">
      <c r="A29" s="20" t="n"/>
      <c r="B29" s="20" t="n"/>
      <c r="C29" s="25" t="n"/>
      <c r="D29" s="25" t="n"/>
      <c r="E29" s="31">
        <f>IF($B29="",0,IFERROR(INDEX(Assumptions!$B$8:$E$8,1,MATCH($B29,Assumptions!$B$4:$E$4,0)),0))</f>
        <v/>
      </c>
      <c r="F29" s="12">
        <f>IF($B29="",0,IFERROR(INDEX(Assumptions!$B$9:$E$9,1,MATCH($B29,Assumptions!$B$4:$E$4,0)),0))</f>
        <v/>
      </c>
      <c r="G29" s="32">
        <f>IF($B29="",0,IFERROR(IF($D29="",INDEX(Assumptions!$B$14:$E$19,MIN(6,ROUNDUP(($C29+G$5)/3,0)),MATCH($B29,Assumptions!$B$4:$E$4,0)),IF(G$5&lt;$D29,0,INDEX(Assumptions!$B$14:$E$19,MIN(6,ROUNDUP((G$5-$D29+1)/3,0)),MATCH($B29,Assumptions!$B$4:$E$4,0)))),0))</f>
        <v/>
      </c>
      <c r="H29" s="32">
        <f>IF($B29="",0,IFERROR(IF($D29="",INDEX(Assumptions!$B$14:$E$19,MIN(6,ROUNDUP(($C29+H$5)/3,0)),MATCH($B29,Assumptions!$B$4:$E$4,0)),IF(H$5&lt;$D29,0,INDEX(Assumptions!$B$14:$E$19,MIN(6,ROUNDUP((H$5-$D29+1)/3,0)),MATCH($B29,Assumptions!$B$4:$E$4,0)))),0))</f>
        <v/>
      </c>
      <c r="I29" s="32">
        <f>IF($B29="",0,IFERROR(IF($D29="",INDEX(Assumptions!$B$14:$E$19,MIN(6,ROUNDUP(($C29+I$5)/3,0)),MATCH($B29,Assumptions!$B$4:$E$4,0)),IF(I$5&lt;$D29,0,INDEX(Assumptions!$B$14:$E$19,MIN(6,ROUNDUP((I$5-$D29+1)/3,0)),MATCH($B29,Assumptions!$B$4:$E$4,0)))),0))</f>
        <v/>
      </c>
      <c r="J29" s="32">
        <f>IF($B29="",0,IFERROR(IF($D29="",INDEX(Assumptions!$B$14:$E$19,MIN(6,ROUNDUP(($C29+J$5)/3,0)),MATCH($B29,Assumptions!$B$4:$E$4,0)),IF(J$5&lt;$D29,0,INDEX(Assumptions!$B$14:$E$19,MIN(6,ROUNDUP((J$5-$D29+1)/3,0)),MATCH($B29,Assumptions!$B$4:$E$4,0)))),0))</f>
        <v/>
      </c>
      <c r="K29" s="32">
        <f>IF($B29="",0,IFERROR(IF($D29="",INDEX(Assumptions!$B$14:$E$19,MIN(6,ROUNDUP(($C29+K$5)/3,0)),MATCH($B29,Assumptions!$B$4:$E$4,0)),IF(K$5&lt;$D29,0,INDEX(Assumptions!$B$14:$E$19,MIN(6,ROUNDUP((K$5-$D29+1)/3,0)),MATCH($B29,Assumptions!$B$4:$E$4,0)))),0))</f>
        <v/>
      </c>
      <c r="L29" s="32">
        <f>IF($B29="",0,IFERROR(IF($D29="",INDEX(Assumptions!$B$14:$E$19,MIN(6,ROUNDUP(($C29+L$5)/3,0)),MATCH($B29,Assumptions!$B$4:$E$4,0)),IF(L$5&lt;$D29,0,INDEX(Assumptions!$B$14:$E$19,MIN(6,ROUNDUP((L$5-$D29+1)/3,0)),MATCH($B29,Assumptions!$B$4:$E$4,0)))),0))</f>
        <v/>
      </c>
      <c r="M29" s="32">
        <f>IF($B29="",0,IFERROR(IF($D29="",INDEX(Assumptions!$B$14:$E$19,MIN(6,ROUNDUP(($C29+M$5)/3,0)),MATCH($B29,Assumptions!$B$4:$E$4,0)),IF(M$5&lt;$D29,0,INDEX(Assumptions!$B$14:$E$19,MIN(6,ROUNDUP((M$5-$D29+1)/3,0)),MATCH($B29,Assumptions!$B$4:$E$4,0)))),0))</f>
        <v/>
      </c>
      <c r="N29" s="32">
        <f>IF($B29="",0,IFERROR(IF($D29="",INDEX(Assumptions!$B$14:$E$19,MIN(6,ROUNDUP(($C29+N$5)/3,0)),MATCH($B29,Assumptions!$B$4:$E$4,0)),IF(N$5&lt;$D29,0,INDEX(Assumptions!$B$14:$E$19,MIN(6,ROUNDUP((N$5-$D29+1)/3,0)),MATCH($B29,Assumptions!$B$4:$E$4,0)))),0))</f>
        <v/>
      </c>
      <c r="O29" s="32">
        <f>IF($B29="",0,IFERROR(IF($D29="",INDEX(Assumptions!$B$14:$E$19,MIN(6,ROUNDUP(($C29+O$5)/3,0)),MATCH($B29,Assumptions!$B$4:$E$4,0)),IF(O$5&lt;$D29,0,INDEX(Assumptions!$B$14:$E$19,MIN(6,ROUNDUP((O$5-$D29+1)/3,0)),MATCH($B29,Assumptions!$B$4:$E$4,0)))),0))</f>
        <v/>
      </c>
      <c r="P29" s="32">
        <f>IF($B29="",0,IFERROR(IF($D29="",INDEX(Assumptions!$B$14:$E$19,MIN(6,ROUNDUP(($C29+P$5)/3,0)),MATCH($B29,Assumptions!$B$4:$E$4,0)),IF(P$5&lt;$D29,0,INDEX(Assumptions!$B$14:$E$19,MIN(6,ROUNDUP((P$5-$D29+1)/3,0)),MATCH($B29,Assumptions!$B$4:$E$4,0)))),0))</f>
        <v/>
      </c>
      <c r="Q29" s="32">
        <f>IF($B29="",0,IFERROR(IF($D29="",INDEX(Assumptions!$B$14:$E$19,MIN(6,ROUNDUP(($C29+Q$5)/3,0)),MATCH($B29,Assumptions!$B$4:$E$4,0)),IF(Q$5&lt;$D29,0,INDEX(Assumptions!$B$14:$E$19,MIN(6,ROUNDUP((Q$5-$D29+1)/3,0)),MATCH($B29,Assumptions!$B$4:$E$4,0)))),0))</f>
        <v/>
      </c>
      <c r="R29" s="32">
        <f>IF($B29="",0,IFERROR(IF($D29="",INDEX(Assumptions!$B$14:$E$19,MIN(6,ROUNDUP(($C29+R$5)/3,0)),MATCH($B29,Assumptions!$B$4:$E$4,0)),IF(R$5&lt;$D29,0,INDEX(Assumptions!$B$14:$E$19,MIN(6,ROUNDUP((R$5-$D29+1)/3,0)),MATCH($B29,Assumptions!$B$4:$E$4,0)))),0))</f>
        <v/>
      </c>
      <c r="S29" s="32">
        <f>SUM(G29:R29)</f>
        <v/>
      </c>
      <c r="T29" s="11">
        <f>E29/12*F29*S29</f>
        <v/>
      </c>
      <c r="U29" s="11">
        <f>IF($B29="",0,IF($D29="",E29,E29*(13-MIN(12,MAX(1,$D29)))/12))</f>
        <v/>
      </c>
    </row>
    <row r="30">
      <c r="A30" s="20" t="n"/>
      <c r="B30" s="20" t="n"/>
      <c r="C30" s="25" t="n"/>
      <c r="D30" s="25" t="n"/>
      <c r="E30" s="31">
        <f>IF($B30="",0,IFERROR(INDEX(Assumptions!$B$8:$E$8,1,MATCH($B30,Assumptions!$B$4:$E$4,0)),0))</f>
        <v/>
      </c>
      <c r="F30" s="12">
        <f>IF($B30="",0,IFERROR(INDEX(Assumptions!$B$9:$E$9,1,MATCH($B30,Assumptions!$B$4:$E$4,0)),0))</f>
        <v/>
      </c>
      <c r="G30" s="32">
        <f>IF($B30="",0,IFERROR(IF($D30="",INDEX(Assumptions!$B$14:$E$19,MIN(6,ROUNDUP(($C30+G$5)/3,0)),MATCH($B30,Assumptions!$B$4:$E$4,0)),IF(G$5&lt;$D30,0,INDEX(Assumptions!$B$14:$E$19,MIN(6,ROUNDUP((G$5-$D30+1)/3,0)),MATCH($B30,Assumptions!$B$4:$E$4,0)))),0))</f>
        <v/>
      </c>
      <c r="H30" s="32">
        <f>IF($B30="",0,IFERROR(IF($D30="",INDEX(Assumptions!$B$14:$E$19,MIN(6,ROUNDUP(($C30+H$5)/3,0)),MATCH($B30,Assumptions!$B$4:$E$4,0)),IF(H$5&lt;$D30,0,INDEX(Assumptions!$B$14:$E$19,MIN(6,ROUNDUP((H$5-$D30+1)/3,0)),MATCH($B30,Assumptions!$B$4:$E$4,0)))),0))</f>
        <v/>
      </c>
      <c r="I30" s="32">
        <f>IF($B30="",0,IFERROR(IF($D30="",INDEX(Assumptions!$B$14:$E$19,MIN(6,ROUNDUP(($C30+I$5)/3,0)),MATCH($B30,Assumptions!$B$4:$E$4,0)),IF(I$5&lt;$D30,0,INDEX(Assumptions!$B$14:$E$19,MIN(6,ROUNDUP((I$5-$D30+1)/3,0)),MATCH($B30,Assumptions!$B$4:$E$4,0)))),0))</f>
        <v/>
      </c>
      <c r="J30" s="32">
        <f>IF($B30="",0,IFERROR(IF($D30="",INDEX(Assumptions!$B$14:$E$19,MIN(6,ROUNDUP(($C30+J$5)/3,0)),MATCH($B30,Assumptions!$B$4:$E$4,0)),IF(J$5&lt;$D30,0,INDEX(Assumptions!$B$14:$E$19,MIN(6,ROUNDUP((J$5-$D30+1)/3,0)),MATCH($B30,Assumptions!$B$4:$E$4,0)))),0))</f>
        <v/>
      </c>
      <c r="K30" s="32">
        <f>IF($B30="",0,IFERROR(IF($D30="",INDEX(Assumptions!$B$14:$E$19,MIN(6,ROUNDUP(($C30+K$5)/3,0)),MATCH($B30,Assumptions!$B$4:$E$4,0)),IF(K$5&lt;$D30,0,INDEX(Assumptions!$B$14:$E$19,MIN(6,ROUNDUP((K$5-$D30+1)/3,0)),MATCH($B30,Assumptions!$B$4:$E$4,0)))),0))</f>
        <v/>
      </c>
      <c r="L30" s="32">
        <f>IF($B30="",0,IFERROR(IF($D30="",INDEX(Assumptions!$B$14:$E$19,MIN(6,ROUNDUP(($C30+L$5)/3,0)),MATCH($B30,Assumptions!$B$4:$E$4,0)),IF(L$5&lt;$D30,0,INDEX(Assumptions!$B$14:$E$19,MIN(6,ROUNDUP((L$5-$D30+1)/3,0)),MATCH($B30,Assumptions!$B$4:$E$4,0)))),0))</f>
        <v/>
      </c>
      <c r="M30" s="32">
        <f>IF($B30="",0,IFERROR(IF($D30="",INDEX(Assumptions!$B$14:$E$19,MIN(6,ROUNDUP(($C30+M$5)/3,0)),MATCH($B30,Assumptions!$B$4:$E$4,0)),IF(M$5&lt;$D30,0,INDEX(Assumptions!$B$14:$E$19,MIN(6,ROUNDUP((M$5-$D30+1)/3,0)),MATCH($B30,Assumptions!$B$4:$E$4,0)))),0))</f>
        <v/>
      </c>
      <c r="N30" s="32">
        <f>IF($B30="",0,IFERROR(IF($D30="",INDEX(Assumptions!$B$14:$E$19,MIN(6,ROUNDUP(($C30+N$5)/3,0)),MATCH($B30,Assumptions!$B$4:$E$4,0)),IF(N$5&lt;$D30,0,INDEX(Assumptions!$B$14:$E$19,MIN(6,ROUNDUP((N$5-$D30+1)/3,0)),MATCH($B30,Assumptions!$B$4:$E$4,0)))),0))</f>
        <v/>
      </c>
      <c r="O30" s="32">
        <f>IF($B30="",0,IFERROR(IF($D30="",INDEX(Assumptions!$B$14:$E$19,MIN(6,ROUNDUP(($C30+O$5)/3,0)),MATCH($B30,Assumptions!$B$4:$E$4,0)),IF(O$5&lt;$D30,0,INDEX(Assumptions!$B$14:$E$19,MIN(6,ROUNDUP((O$5-$D30+1)/3,0)),MATCH($B30,Assumptions!$B$4:$E$4,0)))),0))</f>
        <v/>
      </c>
      <c r="P30" s="32">
        <f>IF($B30="",0,IFERROR(IF($D30="",INDEX(Assumptions!$B$14:$E$19,MIN(6,ROUNDUP(($C30+P$5)/3,0)),MATCH($B30,Assumptions!$B$4:$E$4,0)),IF(P$5&lt;$D30,0,INDEX(Assumptions!$B$14:$E$19,MIN(6,ROUNDUP((P$5-$D30+1)/3,0)),MATCH($B30,Assumptions!$B$4:$E$4,0)))),0))</f>
        <v/>
      </c>
      <c r="Q30" s="32">
        <f>IF($B30="",0,IFERROR(IF($D30="",INDEX(Assumptions!$B$14:$E$19,MIN(6,ROUNDUP(($C30+Q$5)/3,0)),MATCH($B30,Assumptions!$B$4:$E$4,0)),IF(Q$5&lt;$D30,0,INDEX(Assumptions!$B$14:$E$19,MIN(6,ROUNDUP((Q$5-$D30+1)/3,0)),MATCH($B30,Assumptions!$B$4:$E$4,0)))),0))</f>
        <v/>
      </c>
      <c r="R30" s="32">
        <f>IF($B30="",0,IFERROR(IF($D30="",INDEX(Assumptions!$B$14:$E$19,MIN(6,ROUNDUP(($C30+R$5)/3,0)),MATCH($B30,Assumptions!$B$4:$E$4,0)),IF(R$5&lt;$D30,0,INDEX(Assumptions!$B$14:$E$19,MIN(6,ROUNDUP((R$5-$D30+1)/3,0)),MATCH($B30,Assumptions!$B$4:$E$4,0)))),0))</f>
        <v/>
      </c>
      <c r="S30" s="32">
        <f>SUM(G30:R30)</f>
        <v/>
      </c>
      <c r="T30" s="11">
        <f>E30/12*F30*S30</f>
        <v/>
      </c>
      <c r="U30" s="11">
        <f>IF($B30="",0,IF($D30="",E30,E30*(13-MIN(12,MAX(1,$D30)))/12))</f>
        <v/>
      </c>
    </row>
    <row r="31">
      <c r="A31" s="20" t="n"/>
      <c r="B31" s="20" t="n"/>
      <c r="C31" s="25" t="n"/>
      <c r="D31" s="25" t="n"/>
      <c r="E31" s="31">
        <f>IF($B31="",0,IFERROR(INDEX(Assumptions!$B$8:$E$8,1,MATCH($B31,Assumptions!$B$4:$E$4,0)),0))</f>
        <v/>
      </c>
      <c r="F31" s="12">
        <f>IF($B31="",0,IFERROR(INDEX(Assumptions!$B$9:$E$9,1,MATCH($B31,Assumptions!$B$4:$E$4,0)),0))</f>
        <v/>
      </c>
      <c r="G31" s="32">
        <f>IF($B31="",0,IFERROR(IF($D31="",INDEX(Assumptions!$B$14:$E$19,MIN(6,ROUNDUP(($C31+G$5)/3,0)),MATCH($B31,Assumptions!$B$4:$E$4,0)),IF(G$5&lt;$D31,0,INDEX(Assumptions!$B$14:$E$19,MIN(6,ROUNDUP((G$5-$D31+1)/3,0)),MATCH($B31,Assumptions!$B$4:$E$4,0)))),0))</f>
        <v/>
      </c>
      <c r="H31" s="32">
        <f>IF($B31="",0,IFERROR(IF($D31="",INDEX(Assumptions!$B$14:$E$19,MIN(6,ROUNDUP(($C31+H$5)/3,0)),MATCH($B31,Assumptions!$B$4:$E$4,0)),IF(H$5&lt;$D31,0,INDEX(Assumptions!$B$14:$E$19,MIN(6,ROUNDUP((H$5-$D31+1)/3,0)),MATCH($B31,Assumptions!$B$4:$E$4,0)))),0))</f>
        <v/>
      </c>
      <c r="I31" s="32">
        <f>IF($B31="",0,IFERROR(IF($D31="",INDEX(Assumptions!$B$14:$E$19,MIN(6,ROUNDUP(($C31+I$5)/3,0)),MATCH($B31,Assumptions!$B$4:$E$4,0)),IF(I$5&lt;$D31,0,INDEX(Assumptions!$B$14:$E$19,MIN(6,ROUNDUP((I$5-$D31+1)/3,0)),MATCH($B31,Assumptions!$B$4:$E$4,0)))),0))</f>
        <v/>
      </c>
      <c r="J31" s="32">
        <f>IF($B31="",0,IFERROR(IF($D31="",INDEX(Assumptions!$B$14:$E$19,MIN(6,ROUNDUP(($C31+J$5)/3,0)),MATCH($B31,Assumptions!$B$4:$E$4,0)),IF(J$5&lt;$D31,0,INDEX(Assumptions!$B$14:$E$19,MIN(6,ROUNDUP((J$5-$D31+1)/3,0)),MATCH($B31,Assumptions!$B$4:$E$4,0)))),0))</f>
        <v/>
      </c>
      <c r="K31" s="32">
        <f>IF($B31="",0,IFERROR(IF($D31="",INDEX(Assumptions!$B$14:$E$19,MIN(6,ROUNDUP(($C31+K$5)/3,0)),MATCH($B31,Assumptions!$B$4:$E$4,0)),IF(K$5&lt;$D31,0,INDEX(Assumptions!$B$14:$E$19,MIN(6,ROUNDUP((K$5-$D31+1)/3,0)),MATCH($B31,Assumptions!$B$4:$E$4,0)))),0))</f>
        <v/>
      </c>
      <c r="L31" s="32">
        <f>IF($B31="",0,IFERROR(IF($D31="",INDEX(Assumptions!$B$14:$E$19,MIN(6,ROUNDUP(($C31+L$5)/3,0)),MATCH($B31,Assumptions!$B$4:$E$4,0)),IF(L$5&lt;$D31,0,INDEX(Assumptions!$B$14:$E$19,MIN(6,ROUNDUP((L$5-$D31+1)/3,0)),MATCH($B31,Assumptions!$B$4:$E$4,0)))),0))</f>
        <v/>
      </c>
      <c r="M31" s="32">
        <f>IF($B31="",0,IFERROR(IF($D31="",INDEX(Assumptions!$B$14:$E$19,MIN(6,ROUNDUP(($C31+M$5)/3,0)),MATCH($B31,Assumptions!$B$4:$E$4,0)),IF(M$5&lt;$D31,0,INDEX(Assumptions!$B$14:$E$19,MIN(6,ROUNDUP((M$5-$D31+1)/3,0)),MATCH($B31,Assumptions!$B$4:$E$4,0)))),0))</f>
        <v/>
      </c>
      <c r="N31" s="32">
        <f>IF($B31="",0,IFERROR(IF($D31="",INDEX(Assumptions!$B$14:$E$19,MIN(6,ROUNDUP(($C31+N$5)/3,0)),MATCH($B31,Assumptions!$B$4:$E$4,0)),IF(N$5&lt;$D31,0,INDEX(Assumptions!$B$14:$E$19,MIN(6,ROUNDUP((N$5-$D31+1)/3,0)),MATCH($B31,Assumptions!$B$4:$E$4,0)))),0))</f>
        <v/>
      </c>
      <c r="O31" s="32">
        <f>IF($B31="",0,IFERROR(IF($D31="",INDEX(Assumptions!$B$14:$E$19,MIN(6,ROUNDUP(($C31+O$5)/3,0)),MATCH($B31,Assumptions!$B$4:$E$4,0)),IF(O$5&lt;$D31,0,INDEX(Assumptions!$B$14:$E$19,MIN(6,ROUNDUP((O$5-$D31+1)/3,0)),MATCH($B31,Assumptions!$B$4:$E$4,0)))),0))</f>
        <v/>
      </c>
      <c r="P31" s="32">
        <f>IF($B31="",0,IFERROR(IF($D31="",INDEX(Assumptions!$B$14:$E$19,MIN(6,ROUNDUP(($C31+P$5)/3,0)),MATCH($B31,Assumptions!$B$4:$E$4,0)),IF(P$5&lt;$D31,0,INDEX(Assumptions!$B$14:$E$19,MIN(6,ROUNDUP((P$5-$D31+1)/3,0)),MATCH($B31,Assumptions!$B$4:$E$4,0)))),0))</f>
        <v/>
      </c>
      <c r="Q31" s="32">
        <f>IF($B31="",0,IFERROR(IF($D31="",INDEX(Assumptions!$B$14:$E$19,MIN(6,ROUNDUP(($C31+Q$5)/3,0)),MATCH($B31,Assumptions!$B$4:$E$4,0)),IF(Q$5&lt;$D31,0,INDEX(Assumptions!$B$14:$E$19,MIN(6,ROUNDUP((Q$5-$D31+1)/3,0)),MATCH($B31,Assumptions!$B$4:$E$4,0)))),0))</f>
        <v/>
      </c>
      <c r="R31" s="32">
        <f>IF($B31="",0,IFERROR(IF($D31="",INDEX(Assumptions!$B$14:$E$19,MIN(6,ROUNDUP(($C31+R$5)/3,0)),MATCH($B31,Assumptions!$B$4:$E$4,0)),IF(R$5&lt;$D31,0,INDEX(Assumptions!$B$14:$E$19,MIN(6,ROUNDUP((R$5-$D31+1)/3,0)),MATCH($B31,Assumptions!$B$4:$E$4,0)))),0))</f>
        <v/>
      </c>
      <c r="S31" s="32">
        <f>SUM(G31:R31)</f>
        <v/>
      </c>
      <c r="T31" s="11">
        <f>E31/12*F31*S31</f>
        <v/>
      </c>
      <c r="U31" s="11">
        <f>IF($B31="",0,IF($D31="",E31,E31*(13-MIN(12,MAX(1,$D31)))/12))</f>
        <v/>
      </c>
    </row>
    <row r="32">
      <c r="A32" s="20" t="n"/>
      <c r="B32" s="20" t="n"/>
      <c r="C32" s="25" t="n"/>
      <c r="D32" s="25" t="n"/>
      <c r="E32" s="31">
        <f>IF($B32="",0,IFERROR(INDEX(Assumptions!$B$8:$E$8,1,MATCH($B32,Assumptions!$B$4:$E$4,0)),0))</f>
        <v/>
      </c>
      <c r="F32" s="12">
        <f>IF($B32="",0,IFERROR(INDEX(Assumptions!$B$9:$E$9,1,MATCH($B32,Assumptions!$B$4:$E$4,0)),0))</f>
        <v/>
      </c>
      <c r="G32" s="32">
        <f>IF($B32="",0,IFERROR(IF($D32="",INDEX(Assumptions!$B$14:$E$19,MIN(6,ROUNDUP(($C32+G$5)/3,0)),MATCH($B32,Assumptions!$B$4:$E$4,0)),IF(G$5&lt;$D32,0,INDEX(Assumptions!$B$14:$E$19,MIN(6,ROUNDUP((G$5-$D32+1)/3,0)),MATCH($B32,Assumptions!$B$4:$E$4,0)))),0))</f>
        <v/>
      </c>
      <c r="H32" s="32">
        <f>IF($B32="",0,IFERROR(IF($D32="",INDEX(Assumptions!$B$14:$E$19,MIN(6,ROUNDUP(($C32+H$5)/3,0)),MATCH($B32,Assumptions!$B$4:$E$4,0)),IF(H$5&lt;$D32,0,INDEX(Assumptions!$B$14:$E$19,MIN(6,ROUNDUP((H$5-$D32+1)/3,0)),MATCH($B32,Assumptions!$B$4:$E$4,0)))),0))</f>
        <v/>
      </c>
      <c r="I32" s="32">
        <f>IF($B32="",0,IFERROR(IF($D32="",INDEX(Assumptions!$B$14:$E$19,MIN(6,ROUNDUP(($C32+I$5)/3,0)),MATCH($B32,Assumptions!$B$4:$E$4,0)),IF(I$5&lt;$D32,0,INDEX(Assumptions!$B$14:$E$19,MIN(6,ROUNDUP((I$5-$D32+1)/3,0)),MATCH($B32,Assumptions!$B$4:$E$4,0)))),0))</f>
        <v/>
      </c>
      <c r="J32" s="32">
        <f>IF($B32="",0,IFERROR(IF($D32="",INDEX(Assumptions!$B$14:$E$19,MIN(6,ROUNDUP(($C32+J$5)/3,0)),MATCH($B32,Assumptions!$B$4:$E$4,0)),IF(J$5&lt;$D32,0,INDEX(Assumptions!$B$14:$E$19,MIN(6,ROUNDUP((J$5-$D32+1)/3,0)),MATCH($B32,Assumptions!$B$4:$E$4,0)))),0))</f>
        <v/>
      </c>
      <c r="K32" s="32">
        <f>IF($B32="",0,IFERROR(IF($D32="",INDEX(Assumptions!$B$14:$E$19,MIN(6,ROUNDUP(($C32+K$5)/3,0)),MATCH($B32,Assumptions!$B$4:$E$4,0)),IF(K$5&lt;$D32,0,INDEX(Assumptions!$B$14:$E$19,MIN(6,ROUNDUP((K$5-$D32+1)/3,0)),MATCH($B32,Assumptions!$B$4:$E$4,0)))),0))</f>
        <v/>
      </c>
      <c r="L32" s="32">
        <f>IF($B32="",0,IFERROR(IF($D32="",INDEX(Assumptions!$B$14:$E$19,MIN(6,ROUNDUP(($C32+L$5)/3,0)),MATCH($B32,Assumptions!$B$4:$E$4,0)),IF(L$5&lt;$D32,0,INDEX(Assumptions!$B$14:$E$19,MIN(6,ROUNDUP((L$5-$D32+1)/3,0)),MATCH($B32,Assumptions!$B$4:$E$4,0)))),0))</f>
        <v/>
      </c>
      <c r="M32" s="32">
        <f>IF($B32="",0,IFERROR(IF($D32="",INDEX(Assumptions!$B$14:$E$19,MIN(6,ROUNDUP(($C32+M$5)/3,0)),MATCH($B32,Assumptions!$B$4:$E$4,0)),IF(M$5&lt;$D32,0,INDEX(Assumptions!$B$14:$E$19,MIN(6,ROUNDUP((M$5-$D32+1)/3,0)),MATCH($B32,Assumptions!$B$4:$E$4,0)))),0))</f>
        <v/>
      </c>
      <c r="N32" s="32">
        <f>IF($B32="",0,IFERROR(IF($D32="",INDEX(Assumptions!$B$14:$E$19,MIN(6,ROUNDUP(($C32+N$5)/3,0)),MATCH($B32,Assumptions!$B$4:$E$4,0)),IF(N$5&lt;$D32,0,INDEX(Assumptions!$B$14:$E$19,MIN(6,ROUNDUP((N$5-$D32+1)/3,0)),MATCH($B32,Assumptions!$B$4:$E$4,0)))),0))</f>
        <v/>
      </c>
      <c r="O32" s="32">
        <f>IF($B32="",0,IFERROR(IF($D32="",INDEX(Assumptions!$B$14:$E$19,MIN(6,ROUNDUP(($C32+O$5)/3,0)),MATCH($B32,Assumptions!$B$4:$E$4,0)),IF(O$5&lt;$D32,0,INDEX(Assumptions!$B$14:$E$19,MIN(6,ROUNDUP((O$5-$D32+1)/3,0)),MATCH($B32,Assumptions!$B$4:$E$4,0)))),0))</f>
        <v/>
      </c>
      <c r="P32" s="32">
        <f>IF($B32="",0,IFERROR(IF($D32="",INDEX(Assumptions!$B$14:$E$19,MIN(6,ROUNDUP(($C32+P$5)/3,0)),MATCH($B32,Assumptions!$B$4:$E$4,0)),IF(P$5&lt;$D32,0,INDEX(Assumptions!$B$14:$E$19,MIN(6,ROUNDUP((P$5-$D32+1)/3,0)),MATCH($B32,Assumptions!$B$4:$E$4,0)))),0))</f>
        <v/>
      </c>
      <c r="Q32" s="32">
        <f>IF($B32="",0,IFERROR(IF($D32="",INDEX(Assumptions!$B$14:$E$19,MIN(6,ROUNDUP(($C32+Q$5)/3,0)),MATCH($B32,Assumptions!$B$4:$E$4,0)),IF(Q$5&lt;$D32,0,INDEX(Assumptions!$B$14:$E$19,MIN(6,ROUNDUP((Q$5-$D32+1)/3,0)),MATCH($B32,Assumptions!$B$4:$E$4,0)))),0))</f>
        <v/>
      </c>
      <c r="R32" s="32">
        <f>IF($B32="",0,IFERROR(IF($D32="",INDEX(Assumptions!$B$14:$E$19,MIN(6,ROUNDUP(($C32+R$5)/3,0)),MATCH($B32,Assumptions!$B$4:$E$4,0)),IF(R$5&lt;$D32,0,INDEX(Assumptions!$B$14:$E$19,MIN(6,ROUNDUP((R$5-$D32+1)/3,0)),MATCH($B32,Assumptions!$B$4:$E$4,0)))),0))</f>
        <v/>
      </c>
      <c r="S32" s="32">
        <f>SUM(G32:R32)</f>
        <v/>
      </c>
      <c r="T32" s="11">
        <f>E32/12*F32*S32</f>
        <v/>
      </c>
      <c r="U32" s="11">
        <f>IF($B32="",0,IF($D32="",E32,E32*(13-MIN(12,MAX(1,$D32)))/12))</f>
        <v/>
      </c>
    </row>
    <row r="33">
      <c r="A33" s="20" t="n"/>
      <c r="B33" s="20" t="n"/>
      <c r="C33" s="25" t="n"/>
      <c r="D33" s="25" t="n"/>
      <c r="E33" s="31">
        <f>IF($B33="",0,IFERROR(INDEX(Assumptions!$B$8:$E$8,1,MATCH($B33,Assumptions!$B$4:$E$4,0)),0))</f>
        <v/>
      </c>
      <c r="F33" s="12">
        <f>IF($B33="",0,IFERROR(INDEX(Assumptions!$B$9:$E$9,1,MATCH($B33,Assumptions!$B$4:$E$4,0)),0))</f>
        <v/>
      </c>
      <c r="G33" s="32">
        <f>IF($B33="",0,IFERROR(IF($D33="",INDEX(Assumptions!$B$14:$E$19,MIN(6,ROUNDUP(($C33+G$5)/3,0)),MATCH($B33,Assumptions!$B$4:$E$4,0)),IF(G$5&lt;$D33,0,INDEX(Assumptions!$B$14:$E$19,MIN(6,ROUNDUP((G$5-$D33+1)/3,0)),MATCH($B33,Assumptions!$B$4:$E$4,0)))),0))</f>
        <v/>
      </c>
      <c r="H33" s="32">
        <f>IF($B33="",0,IFERROR(IF($D33="",INDEX(Assumptions!$B$14:$E$19,MIN(6,ROUNDUP(($C33+H$5)/3,0)),MATCH($B33,Assumptions!$B$4:$E$4,0)),IF(H$5&lt;$D33,0,INDEX(Assumptions!$B$14:$E$19,MIN(6,ROUNDUP((H$5-$D33+1)/3,0)),MATCH($B33,Assumptions!$B$4:$E$4,0)))),0))</f>
        <v/>
      </c>
      <c r="I33" s="32">
        <f>IF($B33="",0,IFERROR(IF($D33="",INDEX(Assumptions!$B$14:$E$19,MIN(6,ROUNDUP(($C33+I$5)/3,0)),MATCH($B33,Assumptions!$B$4:$E$4,0)),IF(I$5&lt;$D33,0,INDEX(Assumptions!$B$14:$E$19,MIN(6,ROUNDUP((I$5-$D33+1)/3,0)),MATCH($B33,Assumptions!$B$4:$E$4,0)))),0))</f>
        <v/>
      </c>
      <c r="J33" s="32">
        <f>IF($B33="",0,IFERROR(IF($D33="",INDEX(Assumptions!$B$14:$E$19,MIN(6,ROUNDUP(($C33+J$5)/3,0)),MATCH($B33,Assumptions!$B$4:$E$4,0)),IF(J$5&lt;$D33,0,INDEX(Assumptions!$B$14:$E$19,MIN(6,ROUNDUP((J$5-$D33+1)/3,0)),MATCH($B33,Assumptions!$B$4:$E$4,0)))),0))</f>
        <v/>
      </c>
      <c r="K33" s="32">
        <f>IF($B33="",0,IFERROR(IF($D33="",INDEX(Assumptions!$B$14:$E$19,MIN(6,ROUNDUP(($C33+K$5)/3,0)),MATCH($B33,Assumptions!$B$4:$E$4,0)),IF(K$5&lt;$D33,0,INDEX(Assumptions!$B$14:$E$19,MIN(6,ROUNDUP((K$5-$D33+1)/3,0)),MATCH($B33,Assumptions!$B$4:$E$4,0)))),0))</f>
        <v/>
      </c>
      <c r="L33" s="32">
        <f>IF($B33="",0,IFERROR(IF($D33="",INDEX(Assumptions!$B$14:$E$19,MIN(6,ROUNDUP(($C33+L$5)/3,0)),MATCH($B33,Assumptions!$B$4:$E$4,0)),IF(L$5&lt;$D33,0,INDEX(Assumptions!$B$14:$E$19,MIN(6,ROUNDUP((L$5-$D33+1)/3,0)),MATCH($B33,Assumptions!$B$4:$E$4,0)))),0))</f>
        <v/>
      </c>
      <c r="M33" s="32">
        <f>IF($B33="",0,IFERROR(IF($D33="",INDEX(Assumptions!$B$14:$E$19,MIN(6,ROUNDUP(($C33+M$5)/3,0)),MATCH($B33,Assumptions!$B$4:$E$4,0)),IF(M$5&lt;$D33,0,INDEX(Assumptions!$B$14:$E$19,MIN(6,ROUNDUP((M$5-$D33+1)/3,0)),MATCH($B33,Assumptions!$B$4:$E$4,0)))),0))</f>
        <v/>
      </c>
      <c r="N33" s="32">
        <f>IF($B33="",0,IFERROR(IF($D33="",INDEX(Assumptions!$B$14:$E$19,MIN(6,ROUNDUP(($C33+N$5)/3,0)),MATCH($B33,Assumptions!$B$4:$E$4,0)),IF(N$5&lt;$D33,0,INDEX(Assumptions!$B$14:$E$19,MIN(6,ROUNDUP((N$5-$D33+1)/3,0)),MATCH($B33,Assumptions!$B$4:$E$4,0)))),0))</f>
        <v/>
      </c>
      <c r="O33" s="32">
        <f>IF($B33="",0,IFERROR(IF($D33="",INDEX(Assumptions!$B$14:$E$19,MIN(6,ROUNDUP(($C33+O$5)/3,0)),MATCH($B33,Assumptions!$B$4:$E$4,0)),IF(O$5&lt;$D33,0,INDEX(Assumptions!$B$14:$E$19,MIN(6,ROUNDUP((O$5-$D33+1)/3,0)),MATCH($B33,Assumptions!$B$4:$E$4,0)))),0))</f>
        <v/>
      </c>
      <c r="P33" s="32">
        <f>IF($B33="",0,IFERROR(IF($D33="",INDEX(Assumptions!$B$14:$E$19,MIN(6,ROUNDUP(($C33+P$5)/3,0)),MATCH($B33,Assumptions!$B$4:$E$4,0)),IF(P$5&lt;$D33,0,INDEX(Assumptions!$B$14:$E$19,MIN(6,ROUNDUP((P$5-$D33+1)/3,0)),MATCH($B33,Assumptions!$B$4:$E$4,0)))),0))</f>
        <v/>
      </c>
      <c r="Q33" s="32">
        <f>IF($B33="",0,IFERROR(IF($D33="",INDEX(Assumptions!$B$14:$E$19,MIN(6,ROUNDUP(($C33+Q$5)/3,0)),MATCH($B33,Assumptions!$B$4:$E$4,0)),IF(Q$5&lt;$D33,0,INDEX(Assumptions!$B$14:$E$19,MIN(6,ROUNDUP((Q$5-$D33+1)/3,0)),MATCH($B33,Assumptions!$B$4:$E$4,0)))),0))</f>
        <v/>
      </c>
      <c r="R33" s="32">
        <f>IF($B33="",0,IFERROR(IF($D33="",INDEX(Assumptions!$B$14:$E$19,MIN(6,ROUNDUP(($C33+R$5)/3,0)),MATCH($B33,Assumptions!$B$4:$E$4,0)),IF(R$5&lt;$D33,0,INDEX(Assumptions!$B$14:$E$19,MIN(6,ROUNDUP((R$5-$D33+1)/3,0)),MATCH($B33,Assumptions!$B$4:$E$4,0)))),0))</f>
        <v/>
      </c>
      <c r="S33" s="32">
        <f>SUM(G33:R33)</f>
        <v/>
      </c>
      <c r="T33" s="11">
        <f>E33/12*F33*S33</f>
        <v/>
      </c>
      <c r="U33" s="11">
        <f>IF($B33="",0,IF($D33="",E33,E33*(13-MIN(12,MAX(1,$D33)))/12))</f>
        <v/>
      </c>
    </row>
    <row r="34">
      <c r="A34" s="20" t="n"/>
      <c r="B34" s="20" t="n"/>
      <c r="C34" s="25" t="n"/>
      <c r="D34" s="25" t="n"/>
      <c r="E34" s="31">
        <f>IF($B34="",0,IFERROR(INDEX(Assumptions!$B$8:$E$8,1,MATCH($B34,Assumptions!$B$4:$E$4,0)),0))</f>
        <v/>
      </c>
      <c r="F34" s="12">
        <f>IF($B34="",0,IFERROR(INDEX(Assumptions!$B$9:$E$9,1,MATCH($B34,Assumptions!$B$4:$E$4,0)),0))</f>
        <v/>
      </c>
      <c r="G34" s="32">
        <f>IF($B34="",0,IFERROR(IF($D34="",INDEX(Assumptions!$B$14:$E$19,MIN(6,ROUNDUP(($C34+G$5)/3,0)),MATCH($B34,Assumptions!$B$4:$E$4,0)),IF(G$5&lt;$D34,0,INDEX(Assumptions!$B$14:$E$19,MIN(6,ROUNDUP((G$5-$D34+1)/3,0)),MATCH($B34,Assumptions!$B$4:$E$4,0)))),0))</f>
        <v/>
      </c>
      <c r="H34" s="32">
        <f>IF($B34="",0,IFERROR(IF($D34="",INDEX(Assumptions!$B$14:$E$19,MIN(6,ROUNDUP(($C34+H$5)/3,0)),MATCH($B34,Assumptions!$B$4:$E$4,0)),IF(H$5&lt;$D34,0,INDEX(Assumptions!$B$14:$E$19,MIN(6,ROUNDUP((H$5-$D34+1)/3,0)),MATCH($B34,Assumptions!$B$4:$E$4,0)))),0))</f>
        <v/>
      </c>
      <c r="I34" s="32">
        <f>IF($B34="",0,IFERROR(IF($D34="",INDEX(Assumptions!$B$14:$E$19,MIN(6,ROUNDUP(($C34+I$5)/3,0)),MATCH($B34,Assumptions!$B$4:$E$4,0)),IF(I$5&lt;$D34,0,INDEX(Assumptions!$B$14:$E$19,MIN(6,ROUNDUP((I$5-$D34+1)/3,0)),MATCH($B34,Assumptions!$B$4:$E$4,0)))),0))</f>
        <v/>
      </c>
      <c r="J34" s="32">
        <f>IF($B34="",0,IFERROR(IF($D34="",INDEX(Assumptions!$B$14:$E$19,MIN(6,ROUNDUP(($C34+J$5)/3,0)),MATCH($B34,Assumptions!$B$4:$E$4,0)),IF(J$5&lt;$D34,0,INDEX(Assumptions!$B$14:$E$19,MIN(6,ROUNDUP((J$5-$D34+1)/3,0)),MATCH($B34,Assumptions!$B$4:$E$4,0)))),0))</f>
        <v/>
      </c>
      <c r="K34" s="32">
        <f>IF($B34="",0,IFERROR(IF($D34="",INDEX(Assumptions!$B$14:$E$19,MIN(6,ROUNDUP(($C34+K$5)/3,0)),MATCH($B34,Assumptions!$B$4:$E$4,0)),IF(K$5&lt;$D34,0,INDEX(Assumptions!$B$14:$E$19,MIN(6,ROUNDUP((K$5-$D34+1)/3,0)),MATCH($B34,Assumptions!$B$4:$E$4,0)))),0))</f>
        <v/>
      </c>
      <c r="L34" s="32">
        <f>IF($B34="",0,IFERROR(IF($D34="",INDEX(Assumptions!$B$14:$E$19,MIN(6,ROUNDUP(($C34+L$5)/3,0)),MATCH($B34,Assumptions!$B$4:$E$4,0)),IF(L$5&lt;$D34,0,INDEX(Assumptions!$B$14:$E$19,MIN(6,ROUNDUP((L$5-$D34+1)/3,0)),MATCH($B34,Assumptions!$B$4:$E$4,0)))),0))</f>
        <v/>
      </c>
      <c r="M34" s="32">
        <f>IF($B34="",0,IFERROR(IF($D34="",INDEX(Assumptions!$B$14:$E$19,MIN(6,ROUNDUP(($C34+M$5)/3,0)),MATCH($B34,Assumptions!$B$4:$E$4,0)),IF(M$5&lt;$D34,0,INDEX(Assumptions!$B$14:$E$19,MIN(6,ROUNDUP((M$5-$D34+1)/3,0)),MATCH($B34,Assumptions!$B$4:$E$4,0)))),0))</f>
        <v/>
      </c>
      <c r="N34" s="32">
        <f>IF($B34="",0,IFERROR(IF($D34="",INDEX(Assumptions!$B$14:$E$19,MIN(6,ROUNDUP(($C34+N$5)/3,0)),MATCH($B34,Assumptions!$B$4:$E$4,0)),IF(N$5&lt;$D34,0,INDEX(Assumptions!$B$14:$E$19,MIN(6,ROUNDUP((N$5-$D34+1)/3,0)),MATCH($B34,Assumptions!$B$4:$E$4,0)))),0))</f>
        <v/>
      </c>
      <c r="O34" s="32">
        <f>IF($B34="",0,IFERROR(IF($D34="",INDEX(Assumptions!$B$14:$E$19,MIN(6,ROUNDUP(($C34+O$5)/3,0)),MATCH($B34,Assumptions!$B$4:$E$4,0)),IF(O$5&lt;$D34,0,INDEX(Assumptions!$B$14:$E$19,MIN(6,ROUNDUP((O$5-$D34+1)/3,0)),MATCH($B34,Assumptions!$B$4:$E$4,0)))),0))</f>
        <v/>
      </c>
      <c r="P34" s="32">
        <f>IF($B34="",0,IFERROR(IF($D34="",INDEX(Assumptions!$B$14:$E$19,MIN(6,ROUNDUP(($C34+P$5)/3,0)),MATCH($B34,Assumptions!$B$4:$E$4,0)),IF(P$5&lt;$D34,0,INDEX(Assumptions!$B$14:$E$19,MIN(6,ROUNDUP((P$5-$D34+1)/3,0)),MATCH($B34,Assumptions!$B$4:$E$4,0)))),0))</f>
        <v/>
      </c>
      <c r="Q34" s="32">
        <f>IF($B34="",0,IFERROR(IF($D34="",INDEX(Assumptions!$B$14:$E$19,MIN(6,ROUNDUP(($C34+Q$5)/3,0)),MATCH($B34,Assumptions!$B$4:$E$4,0)),IF(Q$5&lt;$D34,0,INDEX(Assumptions!$B$14:$E$19,MIN(6,ROUNDUP((Q$5-$D34+1)/3,0)),MATCH($B34,Assumptions!$B$4:$E$4,0)))),0))</f>
        <v/>
      </c>
      <c r="R34" s="32">
        <f>IF($B34="",0,IFERROR(IF($D34="",INDEX(Assumptions!$B$14:$E$19,MIN(6,ROUNDUP(($C34+R$5)/3,0)),MATCH($B34,Assumptions!$B$4:$E$4,0)),IF(R$5&lt;$D34,0,INDEX(Assumptions!$B$14:$E$19,MIN(6,ROUNDUP((R$5-$D34+1)/3,0)),MATCH($B34,Assumptions!$B$4:$E$4,0)))),0))</f>
        <v/>
      </c>
      <c r="S34" s="32">
        <f>SUM(G34:R34)</f>
        <v/>
      </c>
      <c r="T34" s="11">
        <f>E34/12*F34*S34</f>
        <v/>
      </c>
      <c r="U34" s="11">
        <f>IF($B34="",0,IF($D34="",E34,E34*(13-MIN(12,MAX(1,$D34)))/12))</f>
        <v/>
      </c>
    </row>
    <row r="35">
      <c r="A35" s="20" t="n"/>
      <c r="B35" s="20" t="n"/>
      <c r="C35" s="25" t="n"/>
      <c r="D35" s="25" t="n"/>
      <c r="E35" s="31">
        <f>IF($B35="",0,IFERROR(INDEX(Assumptions!$B$8:$E$8,1,MATCH($B35,Assumptions!$B$4:$E$4,0)),0))</f>
        <v/>
      </c>
      <c r="F35" s="12">
        <f>IF($B35="",0,IFERROR(INDEX(Assumptions!$B$9:$E$9,1,MATCH($B35,Assumptions!$B$4:$E$4,0)),0))</f>
        <v/>
      </c>
      <c r="G35" s="32">
        <f>IF($B35="",0,IFERROR(IF($D35="",INDEX(Assumptions!$B$14:$E$19,MIN(6,ROUNDUP(($C35+G$5)/3,0)),MATCH($B35,Assumptions!$B$4:$E$4,0)),IF(G$5&lt;$D35,0,INDEX(Assumptions!$B$14:$E$19,MIN(6,ROUNDUP((G$5-$D35+1)/3,0)),MATCH($B35,Assumptions!$B$4:$E$4,0)))),0))</f>
        <v/>
      </c>
      <c r="H35" s="32">
        <f>IF($B35="",0,IFERROR(IF($D35="",INDEX(Assumptions!$B$14:$E$19,MIN(6,ROUNDUP(($C35+H$5)/3,0)),MATCH($B35,Assumptions!$B$4:$E$4,0)),IF(H$5&lt;$D35,0,INDEX(Assumptions!$B$14:$E$19,MIN(6,ROUNDUP((H$5-$D35+1)/3,0)),MATCH($B35,Assumptions!$B$4:$E$4,0)))),0))</f>
        <v/>
      </c>
      <c r="I35" s="32">
        <f>IF($B35="",0,IFERROR(IF($D35="",INDEX(Assumptions!$B$14:$E$19,MIN(6,ROUNDUP(($C35+I$5)/3,0)),MATCH($B35,Assumptions!$B$4:$E$4,0)),IF(I$5&lt;$D35,0,INDEX(Assumptions!$B$14:$E$19,MIN(6,ROUNDUP((I$5-$D35+1)/3,0)),MATCH($B35,Assumptions!$B$4:$E$4,0)))),0))</f>
        <v/>
      </c>
      <c r="J35" s="32">
        <f>IF($B35="",0,IFERROR(IF($D35="",INDEX(Assumptions!$B$14:$E$19,MIN(6,ROUNDUP(($C35+J$5)/3,0)),MATCH($B35,Assumptions!$B$4:$E$4,0)),IF(J$5&lt;$D35,0,INDEX(Assumptions!$B$14:$E$19,MIN(6,ROUNDUP((J$5-$D35+1)/3,0)),MATCH($B35,Assumptions!$B$4:$E$4,0)))),0))</f>
        <v/>
      </c>
      <c r="K35" s="32">
        <f>IF($B35="",0,IFERROR(IF($D35="",INDEX(Assumptions!$B$14:$E$19,MIN(6,ROUNDUP(($C35+K$5)/3,0)),MATCH($B35,Assumptions!$B$4:$E$4,0)),IF(K$5&lt;$D35,0,INDEX(Assumptions!$B$14:$E$19,MIN(6,ROUNDUP((K$5-$D35+1)/3,0)),MATCH($B35,Assumptions!$B$4:$E$4,0)))),0))</f>
        <v/>
      </c>
      <c r="L35" s="32">
        <f>IF($B35="",0,IFERROR(IF($D35="",INDEX(Assumptions!$B$14:$E$19,MIN(6,ROUNDUP(($C35+L$5)/3,0)),MATCH($B35,Assumptions!$B$4:$E$4,0)),IF(L$5&lt;$D35,0,INDEX(Assumptions!$B$14:$E$19,MIN(6,ROUNDUP((L$5-$D35+1)/3,0)),MATCH($B35,Assumptions!$B$4:$E$4,0)))),0))</f>
        <v/>
      </c>
      <c r="M35" s="32">
        <f>IF($B35="",0,IFERROR(IF($D35="",INDEX(Assumptions!$B$14:$E$19,MIN(6,ROUNDUP(($C35+M$5)/3,0)),MATCH($B35,Assumptions!$B$4:$E$4,0)),IF(M$5&lt;$D35,0,INDEX(Assumptions!$B$14:$E$19,MIN(6,ROUNDUP((M$5-$D35+1)/3,0)),MATCH($B35,Assumptions!$B$4:$E$4,0)))),0))</f>
        <v/>
      </c>
      <c r="N35" s="32">
        <f>IF($B35="",0,IFERROR(IF($D35="",INDEX(Assumptions!$B$14:$E$19,MIN(6,ROUNDUP(($C35+N$5)/3,0)),MATCH($B35,Assumptions!$B$4:$E$4,0)),IF(N$5&lt;$D35,0,INDEX(Assumptions!$B$14:$E$19,MIN(6,ROUNDUP((N$5-$D35+1)/3,0)),MATCH($B35,Assumptions!$B$4:$E$4,0)))),0))</f>
        <v/>
      </c>
      <c r="O35" s="32">
        <f>IF($B35="",0,IFERROR(IF($D35="",INDEX(Assumptions!$B$14:$E$19,MIN(6,ROUNDUP(($C35+O$5)/3,0)),MATCH($B35,Assumptions!$B$4:$E$4,0)),IF(O$5&lt;$D35,0,INDEX(Assumptions!$B$14:$E$19,MIN(6,ROUNDUP((O$5-$D35+1)/3,0)),MATCH($B35,Assumptions!$B$4:$E$4,0)))),0))</f>
        <v/>
      </c>
      <c r="P35" s="32">
        <f>IF($B35="",0,IFERROR(IF($D35="",INDEX(Assumptions!$B$14:$E$19,MIN(6,ROUNDUP(($C35+P$5)/3,0)),MATCH($B35,Assumptions!$B$4:$E$4,0)),IF(P$5&lt;$D35,0,INDEX(Assumptions!$B$14:$E$19,MIN(6,ROUNDUP((P$5-$D35+1)/3,0)),MATCH($B35,Assumptions!$B$4:$E$4,0)))),0))</f>
        <v/>
      </c>
      <c r="Q35" s="32">
        <f>IF($B35="",0,IFERROR(IF($D35="",INDEX(Assumptions!$B$14:$E$19,MIN(6,ROUNDUP(($C35+Q$5)/3,0)),MATCH($B35,Assumptions!$B$4:$E$4,0)),IF(Q$5&lt;$D35,0,INDEX(Assumptions!$B$14:$E$19,MIN(6,ROUNDUP((Q$5-$D35+1)/3,0)),MATCH($B35,Assumptions!$B$4:$E$4,0)))),0))</f>
        <v/>
      </c>
      <c r="R35" s="32">
        <f>IF($B35="",0,IFERROR(IF($D35="",INDEX(Assumptions!$B$14:$E$19,MIN(6,ROUNDUP(($C35+R$5)/3,0)),MATCH($B35,Assumptions!$B$4:$E$4,0)),IF(R$5&lt;$D35,0,INDEX(Assumptions!$B$14:$E$19,MIN(6,ROUNDUP((R$5-$D35+1)/3,0)),MATCH($B35,Assumptions!$B$4:$E$4,0)))),0))</f>
        <v/>
      </c>
      <c r="S35" s="32">
        <f>SUM(G35:R35)</f>
        <v/>
      </c>
      <c r="T35" s="11">
        <f>E35/12*F35*S35</f>
        <v/>
      </c>
      <c r="U35" s="11">
        <f>IF($B35="",0,IF($D35="",E35,E35*(13-MIN(12,MAX(1,$D35)))/12))</f>
        <v/>
      </c>
    </row>
    <row r="38">
      <c r="A38" s="3" t="inlineStr">
        <is>
          <t>Capacity by segment</t>
        </is>
      </c>
    </row>
    <row r="39">
      <c r="A39" s="9" t="inlineStr">
        <is>
          <t>Segment</t>
        </is>
      </c>
      <c r="B39" s="9" t="inlineStr">
        <is>
          <t>Reps and open roles</t>
        </is>
      </c>
      <c r="C39" s="9" t="inlineStr">
        <is>
          <t>Segment target ($)</t>
        </is>
      </c>
      <c r="D39" s="9" t="inlineStr">
        <is>
          <t>Assigned quota ($)</t>
        </is>
      </c>
      <c r="E39" s="9" t="inlineStr">
        <is>
          <t>Expected bookings ($)</t>
        </is>
      </c>
      <c r="F39" s="9" t="inlineStr">
        <is>
          <t>Capacity vs target</t>
        </is>
      </c>
      <c r="G39" s="9" t="inlineStr">
        <is>
          <t>Gap to target ($)</t>
        </is>
      </c>
      <c r="H39" s="9" t="inlineStr">
        <is>
          <t>Fully ramped reps to close the gap</t>
        </is>
      </c>
    </row>
    <row r="40">
      <c r="A40" s="10">
        <f>IF(Assumptions!B4="","",Assumptions!B4)</f>
        <v/>
      </c>
      <c r="B40" s="14">
        <f>IF(A40="",0,COUNTIF($B$6:$B$35,A40))</f>
        <v/>
      </c>
      <c r="C40" s="11">
        <f>Targets!C12</f>
        <v/>
      </c>
      <c r="D40" s="11">
        <f>IF(A40="",0,SUMIF($B$6:$B$35,A40,$U$6:$U$35))</f>
        <v/>
      </c>
      <c r="E40" s="11">
        <f>IF(A40="",0,SUMIF($B$6:$B$35,A40,$T$6:$T$35))</f>
        <v/>
      </c>
      <c r="F40" s="19">
        <f>IFERROR(E40/C40,0)</f>
        <v/>
      </c>
      <c r="G40" s="11">
        <f>MAX(0,C40-E40)</f>
        <v/>
      </c>
      <c r="H40" s="29">
        <f>IFERROR(G40/(Assumptions!B8*Assumptions!B9),0)</f>
        <v/>
      </c>
    </row>
    <row r="41">
      <c r="A41" s="10">
        <f>IF(Assumptions!C4="","",Assumptions!C4)</f>
        <v/>
      </c>
      <c r="B41" s="14">
        <f>IF(A41="",0,COUNTIF($B$6:$B$35,A41))</f>
        <v/>
      </c>
      <c r="C41" s="11">
        <f>Targets!C13</f>
        <v/>
      </c>
      <c r="D41" s="11">
        <f>IF(A41="",0,SUMIF($B$6:$B$35,A41,$U$6:$U$35))</f>
        <v/>
      </c>
      <c r="E41" s="11">
        <f>IF(A41="",0,SUMIF($B$6:$B$35,A41,$T$6:$T$35))</f>
        <v/>
      </c>
      <c r="F41" s="19">
        <f>IFERROR(E41/C41,0)</f>
        <v/>
      </c>
      <c r="G41" s="11">
        <f>MAX(0,C41-E41)</f>
        <v/>
      </c>
      <c r="H41" s="29">
        <f>IFERROR(G41/(Assumptions!C8*Assumptions!C9),0)</f>
        <v/>
      </c>
    </row>
    <row r="42">
      <c r="A42" s="10">
        <f>IF(Assumptions!D4="","",Assumptions!D4)</f>
        <v/>
      </c>
      <c r="B42" s="14">
        <f>IF(A42="",0,COUNTIF($B$6:$B$35,A42))</f>
        <v/>
      </c>
      <c r="C42" s="11">
        <f>Targets!C14</f>
        <v/>
      </c>
      <c r="D42" s="11">
        <f>IF(A42="",0,SUMIF($B$6:$B$35,A42,$U$6:$U$35))</f>
        <v/>
      </c>
      <c r="E42" s="11">
        <f>IF(A42="",0,SUMIF($B$6:$B$35,A42,$T$6:$T$35))</f>
        <v/>
      </c>
      <c r="F42" s="19">
        <f>IFERROR(E42/C42,0)</f>
        <v/>
      </c>
      <c r="G42" s="11">
        <f>MAX(0,C42-E42)</f>
        <v/>
      </c>
      <c r="H42" s="29">
        <f>IFERROR(G42/(Assumptions!D8*Assumptions!D9),0)</f>
        <v/>
      </c>
    </row>
    <row r="43">
      <c r="A43" s="10">
        <f>IF(Assumptions!E4="","",Assumptions!E4)</f>
        <v/>
      </c>
      <c r="B43" s="14">
        <f>IF(A43="",0,COUNTIF($B$6:$B$35,A43))</f>
        <v/>
      </c>
      <c r="C43" s="11">
        <f>Targets!C15</f>
        <v/>
      </c>
      <c r="D43" s="11">
        <f>IF(A43="",0,SUMIF($B$6:$B$35,A43,$U$6:$U$35))</f>
        <v/>
      </c>
      <c r="E43" s="11">
        <f>IF(A43="",0,SUMIF($B$6:$B$35,A43,$T$6:$T$35))</f>
        <v/>
      </c>
      <c r="F43" s="19">
        <f>IFERROR(E43/C43,0)</f>
        <v/>
      </c>
      <c r="G43" s="11">
        <f>MAX(0,C43-E43)</f>
        <v/>
      </c>
      <c r="H43" s="29">
        <f>IFERROR(G43/(Assumptions!E8*Assumptions!E9),0)</f>
        <v/>
      </c>
    </row>
    <row r="44">
      <c r="A44" s="3" t="inlineStr">
        <is>
          <t>Total</t>
        </is>
      </c>
      <c r="B44" s="15">
        <f>SUM(B40:B43)</f>
        <v/>
      </c>
      <c r="C44" s="6">
        <f>SUM(C40:C43)</f>
        <v/>
      </c>
      <c r="D44" s="6">
        <f>SUM(D40:D43)</f>
        <v/>
      </c>
      <c r="E44" s="6">
        <f>SUM(E40:E43)</f>
        <v/>
      </c>
      <c r="F44" s="7">
        <f>IFERROR(E44/C44,0)</f>
        <v/>
      </c>
      <c r="G44" s="6">
        <f>SUM(G40:G43)</f>
        <v/>
      </c>
    </row>
    <row r="46">
      <c r="A46" s="2" t="inlineStr">
        <is>
          <t>Expected bookings = annual quota / 12 x planned attainment x ramp months. A rep hired in month 1 at 10%, 25%, 45% and 65% by quarter adds 4.35 ramp months in year one, not 12.</t>
        </is>
      </c>
    </row>
  </sheetData>
  <dataValidations count="1">
    <dataValidation sqref="B6 B7 B8 B9 B10 B11 B12 B13 B14 B15 B16 B17 B18 B19 B20 B21 B22 B23 B24 B25 B26 B27 B28 B29 B30 B31 B32 B33 B34 B35" showDropDown="0" showInputMessage="0" showErrorMessage="0" allowBlank="1" type="list">
      <formula1>=Assumptions!$B$4:$E$4</formula1>
    </dataValidation>
  </dataValidations>
  <pageMargins left="0.75" right="0.75" top="1" bottom="1" header="0.5" footer="0.5"/>
  <pageSetup orientation="landscape" fitToWidth="1"/>
</worksheet>
</file>

<file path=xl/worksheets/sheet7.xml><?xml version="1.0" encoding="utf-8"?>
<worksheet xmlns="http://schemas.openxmlformats.org/spreadsheetml/2006/main">
  <sheetPr>
    <outlinePr summaryBelow="1" summaryRight="1"/>
    <pageSetUpPr/>
  </sheetPr>
  <dimension ref="A1:G43"/>
  <sheetViews>
    <sheetView showGridLines="0" workbookViewId="0">
      <selection activeCell="A1" sqref="A1"/>
    </sheetView>
  </sheetViews>
  <sheetFormatPr baseColWidth="8" defaultRowHeight="15"/>
  <cols>
    <col width="26" customWidth="1" min="1" max="1"/>
    <col width="18" customWidth="1" min="2" max="2"/>
    <col width="18" customWidth="1" min="3" max="3"/>
    <col width="16" customWidth="1" min="4" max="4"/>
    <col width="22" customWidth="1" min="5" max="5"/>
    <col width="16" customWidth="1" min="6" max="6"/>
    <col width="40" customWidth="1" min="7" max="7"/>
  </cols>
  <sheetData>
    <row r="1">
      <c r="A1" s="1" t="inlineStr">
        <is>
          <t>Territories and quotas</t>
        </is>
      </c>
    </row>
    <row r="2">
      <c r="A2" s="2" t="inlineStr">
        <is>
          <t>One row per territory. The check compares addressable market with quota.</t>
        </is>
      </c>
    </row>
    <row r="4">
      <c r="A4" s="9" t="inlineStr">
        <is>
          <t>Territory</t>
        </is>
      </c>
      <c r="B4" s="9" t="inlineStr">
        <is>
          <t>Segment</t>
        </is>
      </c>
      <c r="C4" s="9" t="inlineStr">
        <is>
          <t>Owner</t>
        </is>
      </c>
      <c r="D4" s="9" t="inlineStr">
        <is>
          <t>Quota ($)</t>
        </is>
      </c>
      <c r="E4" s="9" t="inlineStr">
        <is>
          <t>Addressable market ($)</t>
        </is>
      </c>
      <c r="F4" s="9" t="inlineStr">
        <is>
          <t>Market to quota</t>
        </is>
      </c>
      <c r="G4" s="9" t="inlineStr">
        <is>
          <t>Check</t>
        </is>
      </c>
    </row>
    <row r="5">
      <c r="A5" s="20" t="n"/>
      <c r="B5" s="20" t="n"/>
      <c r="C5" s="20" t="n"/>
      <c r="D5" s="23" t="n"/>
      <c r="E5" s="23" t="n"/>
      <c r="F5" s="16">
        <f>IFERROR(E5/D5,"")</f>
        <v/>
      </c>
      <c r="G5" s="10">
        <f>IF(OR(D5="",E5=""),"",IFERROR(IF(F5&gt;=INDEX(Assumptions!$B$10:$E$10,1,MATCH(B5,Assumptions!$B$4:$E$4,0)),"OK","Below "&amp;INDEX(Assumptions!$B$10:$E$10,1,MATCH(B5,Assumptions!$B$4:$E$4,0))&amp;"x: add accounts or lower quota"),"Pick a segment"))</f>
        <v/>
      </c>
    </row>
    <row r="6">
      <c r="A6" s="20" t="n"/>
      <c r="B6" s="20" t="n"/>
      <c r="C6" s="20" t="n"/>
      <c r="D6" s="23" t="n"/>
      <c r="E6" s="23" t="n"/>
      <c r="F6" s="16">
        <f>IFERROR(E6/D6,"")</f>
        <v/>
      </c>
      <c r="G6" s="10">
        <f>IF(OR(D6="",E6=""),"",IFERROR(IF(F6&gt;=INDEX(Assumptions!$B$10:$E$10,1,MATCH(B6,Assumptions!$B$4:$E$4,0)),"OK","Below "&amp;INDEX(Assumptions!$B$10:$E$10,1,MATCH(B6,Assumptions!$B$4:$E$4,0))&amp;"x: add accounts or lower quota"),"Pick a segment"))</f>
        <v/>
      </c>
    </row>
    <row r="7">
      <c r="A7" s="20" t="n"/>
      <c r="B7" s="20" t="n"/>
      <c r="C7" s="20" t="n"/>
      <c r="D7" s="23" t="n"/>
      <c r="E7" s="23" t="n"/>
      <c r="F7" s="16">
        <f>IFERROR(E7/D7,"")</f>
        <v/>
      </c>
      <c r="G7" s="10">
        <f>IF(OR(D7="",E7=""),"",IFERROR(IF(F7&gt;=INDEX(Assumptions!$B$10:$E$10,1,MATCH(B7,Assumptions!$B$4:$E$4,0)),"OK","Below "&amp;INDEX(Assumptions!$B$10:$E$10,1,MATCH(B7,Assumptions!$B$4:$E$4,0))&amp;"x: add accounts or lower quota"),"Pick a segment"))</f>
        <v/>
      </c>
    </row>
    <row r="8">
      <c r="A8" s="20" t="n"/>
      <c r="B8" s="20" t="n"/>
      <c r="C8" s="20" t="n"/>
      <c r="D8" s="23" t="n"/>
      <c r="E8" s="23" t="n"/>
      <c r="F8" s="16">
        <f>IFERROR(E8/D8,"")</f>
        <v/>
      </c>
      <c r="G8" s="10">
        <f>IF(OR(D8="",E8=""),"",IFERROR(IF(F8&gt;=INDEX(Assumptions!$B$10:$E$10,1,MATCH(B8,Assumptions!$B$4:$E$4,0)),"OK","Below "&amp;INDEX(Assumptions!$B$10:$E$10,1,MATCH(B8,Assumptions!$B$4:$E$4,0))&amp;"x: add accounts or lower quota"),"Pick a segment"))</f>
        <v/>
      </c>
    </row>
    <row r="9">
      <c r="A9" s="20" t="n"/>
      <c r="B9" s="20" t="n"/>
      <c r="C9" s="20" t="n"/>
      <c r="D9" s="23" t="n"/>
      <c r="E9" s="23" t="n"/>
      <c r="F9" s="16">
        <f>IFERROR(E9/D9,"")</f>
        <v/>
      </c>
      <c r="G9" s="10">
        <f>IF(OR(D9="",E9=""),"",IFERROR(IF(F9&gt;=INDEX(Assumptions!$B$10:$E$10,1,MATCH(B9,Assumptions!$B$4:$E$4,0)),"OK","Below "&amp;INDEX(Assumptions!$B$10:$E$10,1,MATCH(B9,Assumptions!$B$4:$E$4,0))&amp;"x: add accounts or lower quota"),"Pick a segment"))</f>
        <v/>
      </c>
    </row>
    <row r="10">
      <c r="A10" s="20" t="n"/>
      <c r="B10" s="20" t="n"/>
      <c r="C10" s="20" t="n"/>
      <c r="D10" s="23" t="n"/>
      <c r="E10" s="23" t="n"/>
      <c r="F10" s="16">
        <f>IFERROR(E10/D10,"")</f>
        <v/>
      </c>
      <c r="G10" s="10">
        <f>IF(OR(D10="",E10=""),"",IFERROR(IF(F10&gt;=INDEX(Assumptions!$B$10:$E$10,1,MATCH(B10,Assumptions!$B$4:$E$4,0)),"OK","Below "&amp;INDEX(Assumptions!$B$10:$E$10,1,MATCH(B10,Assumptions!$B$4:$E$4,0))&amp;"x: add accounts or lower quota"),"Pick a segment"))</f>
        <v/>
      </c>
    </row>
    <row r="11">
      <c r="A11" s="20" t="n"/>
      <c r="B11" s="20" t="n"/>
      <c r="C11" s="20" t="n"/>
      <c r="D11" s="23" t="n"/>
      <c r="E11" s="23" t="n"/>
      <c r="F11" s="16">
        <f>IFERROR(E11/D11,"")</f>
        <v/>
      </c>
      <c r="G11" s="10">
        <f>IF(OR(D11="",E11=""),"",IFERROR(IF(F11&gt;=INDEX(Assumptions!$B$10:$E$10,1,MATCH(B11,Assumptions!$B$4:$E$4,0)),"OK","Below "&amp;INDEX(Assumptions!$B$10:$E$10,1,MATCH(B11,Assumptions!$B$4:$E$4,0))&amp;"x: add accounts or lower quota"),"Pick a segment"))</f>
        <v/>
      </c>
    </row>
    <row r="12">
      <c r="A12" s="20" t="n"/>
      <c r="B12" s="20" t="n"/>
      <c r="C12" s="20" t="n"/>
      <c r="D12" s="23" t="n"/>
      <c r="E12" s="23" t="n"/>
      <c r="F12" s="16">
        <f>IFERROR(E12/D12,"")</f>
        <v/>
      </c>
      <c r="G12" s="10">
        <f>IF(OR(D12="",E12=""),"",IFERROR(IF(F12&gt;=INDEX(Assumptions!$B$10:$E$10,1,MATCH(B12,Assumptions!$B$4:$E$4,0)),"OK","Below "&amp;INDEX(Assumptions!$B$10:$E$10,1,MATCH(B12,Assumptions!$B$4:$E$4,0))&amp;"x: add accounts or lower quota"),"Pick a segment"))</f>
        <v/>
      </c>
    </row>
    <row r="13">
      <c r="A13" s="20" t="n"/>
      <c r="B13" s="20" t="n"/>
      <c r="C13" s="20" t="n"/>
      <c r="D13" s="23" t="n"/>
      <c r="E13" s="23" t="n"/>
      <c r="F13" s="16">
        <f>IFERROR(E13/D13,"")</f>
        <v/>
      </c>
      <c r="G13" s="10">
        <f>IF(OR(D13="",E13=""),"",IFERROR(IF(F13&gt;=INDEX(Assumptions!$B$10:$E$10,1,MATCH(B13,Assumptions!$B$4:$E$4,0)),"OK","Below "&amp;INDEX(Assumptions!$B$10:$E$10,1,MATCH(B13,Assumptions!$B$4:$E$4,0))&amp;"x: add accounts or lower quota"),"Pick a segment"))</f>
        <v/>
      </c>
    </row>
    <row r="14">
      <c r="A14" s="20" t="n"/>
      <c r="B14" s="20" t="n"/>
      <c r="C14" s="20" t="n"/>
      <c r="D14" s="23" t="n"/>
      <c r="E14" s="23" t="n"/>
      <c r="F14" s="16">
        <f>IFERROR(E14/D14,"")</f>
        <v/>
      </c>
      <c r="G14" s="10">
        <f>IF(OR(D14="",E14=""),"",IFERROR(IF(F14&gt;=INDEX(Assumptions!$B$10:$E$10,1,MATCH(B14,Assumptions!$B$4:$E$4,0)),"OK","Below "&amp;INDEX(Assumptions!$B$10:$E$10,1,MATCH(B14,Assumptions!$B$4:$E$4,0))&amp;"x: add accounts or lower quota"),"Pick a segment"))</f>
        <v/>
      </c>
    </row>
    <row r="15">
      <c r="A15" s="20" t="n"/>
      <c r="B15" s="20" t="n"/>
      <c r="C15" s="20" t="n"/>
      <c r="D15" s="23" t="n"/>
      <c r="E15" s="23" t="n"/>
      <c r="F15" s="16">
        <f>IFERROR(E15/D15,"")</f>
        <v/>
      </c>
      <c r="G15" s="10">
        <f>IF(OR(D15="",E15=""),"",IFERROR(IF(F15&gt;=INDEX(Assumptions!$B$10:$E$10,1,MATCH(B15,Assumptions!$B$4:$E$4,0)),"OK","Below "&amp;INDEX(Assumptions!$B$10:$E$10,1,MATCH(B15,Assumptions!$B$4:$E$4,0))&amp;"x: add accounts or lower quota"),"Pick a segment"))</f>
        <v/>
      </c>
    </row>
    <row r="16">
      <c r="A16" s="20" t="n"/>
      <c r="B16" s="20" t="n"/>
      <c r="C16" s="20" t="n"/>
      <c r="D16" s="23" t="n"/>
      <c r="E16" s="23" t="n"/>
      <c r="F16" s="16">
        <f>IFERROR(E16/D16,"")</f>
        <v/>
      </c>
      <c r="G16" s="10">
        <f>IF(OR(D16="",E16=""),"",IFERROR(IF(F16&gt;=INDEX(Assumptions!$B$10:$E$10,1,MATCH(B16,Assumptions!$B$4:$E$4,0)),"OK","Below "&amp;INDEX(Assumptions!$B$10:$E$10,1,MATCH(B16,Assumptions!$B$4:$E$4,0))&amp;"x: add accounts or lower quota"),"Pick a segment"))</f>
        <v/>
      </c>
    </row>
    <row r="17">
      <c r="A17" s="20" t="n"/>
      <c r="B17" s="20" t="n"/>
      <c r="C17" s="20" t="n"/>
      <c r="D17" s="23" t="n"/>
      <c r="E17" s="23" t="n"/>
      <c r="F17" s="16">
        <f>IFERROR(E17/D17,"")</f>
        <v/>
      </c>
      <c r="G17" s="10">
        <f>IF(OR(D17="",E17=""),"",IFERROR(IF(F17&gt;=INDEX(Assumptions!$B$10:$E$10,1,MATCH(B17,Assumptions!$B$4:$E$4,0)),"OK","Below "&amp;INDEX(Assumptions!$B$10:$E$10,1,MATCH(B17,Assumptions!$B$4:$E$4,0))&amp;"x: add accounts or lower quota"),"Pick a segment"))</f>
        <v/>
      </c>
    </row>
    <row r="18">
      <c r="A18" s="20" t="n"/>
      <c r="B18" s="20" t="n"/>
      <c r="C18" s="20" t="n"/>
      <c r="D18" s="23" t="n"/>
      <c r="E18" s="23" t="n"/>
      <c r="F18" s="16">
        <f>IFERROR(E18/D18,"")</f>
        <v/>
      </c>
      <c r="G18" s="10">
        <f>IF(OR(D18="",E18=""),"",IFERROR(IF(F18&gt;=INDEX(Assumptions!$B$10:$E$10,1,MATCH(B18,Assumptions!$B$4:$E$4,0)),"OK","Below "&amp;INDEX(Assumptions!$B$10:$E$10,1,MATCH(B18,Assumptions!$B$4:$E$4,0))&amp;"x: add accounts or lower quota"),"Pick a segment"))</f>
        <v/>
      </c>
    </row>
    <row r="19">
      <c r="A19" s="20" t="n"/>
      <c r="B19" s="20" t="n"/>
      <c r="C19" s="20" t="n"/>
      <c r="D19" s="23" t="n"/>
      <c r="E19" s="23" t="n"/>
      <c r="F19" s="16">
        <f>IFERROR(E19/D19,"")</f>
        <v/>
      </c>
      <c r="G19" s="10">
        <f>IF(OR(D19="",E19=""),"",IFERROR(IF(F19&gt;=INDEX(Assumptions!$B$10:$E$10,1,MATCH(B19,Assumptions!$B$4:$E$4,0)),"OK","Below "&amp;INDEX(Assumptions!$B$10:$E$10,1,MATCH(B19,Assumptions!$B$4:$E$4,0))&amp;"x: add accounts or lower quota"),"Pick a segment"))</f>
        <v/>
      </c>
    </row>
    <row r="20">
      <c r="A20" s="20" t="n"/>
      <c r="B20" s="20" t="n"/>
      <c r="C20" s="20" t="n"/>
      <c r="D20" s="23" t="n"/>
      <c r="E20" s="23" t="n"/>
      <c r="F20" s="16">
        <f>IFERROR(E20/D20,"")</f>
        <v/>
      </c>
      <c r="G20" s="10">
        <f>IF(OR(D20="",E20=""),"",IFERROR(IF(F20&gt;=INDEX(Assumptions!$B$10:$E$10,1,MATCH(B20,Assumptions!$B$4:$E$4,0)),"OK","Below "&amp;INDEX(Assumptions!$B$10:$E$10,1,MATCH(B20,Assumptions!$B$4:$E$4,0))&amp;"x: add accounts or lower quota"),"Pick a segment"))</f>
        <v/>
      </c>
    </row>
    <row r="21">
      <c r="A21" s="20" t="n"/>
      <c r="B21" s="20" t="n"/>
      <c r="C21" s="20" t="n"/>
      <c r="D21" s="23" t="n"/>
      <c r="E21" s="23" t="n"/>
      <c r="F21" s="16">
        <f>IFERROR(E21/D21,"")</f>
        <v/>
      </c>
      <c r="G21" s="10">
        <f>IF(OR(D21="",E21=""),"",IFERROR(IF(F21&gt;=INDEX(Assumptions!$B$10:$E$10,1,MATCH(B21,Assumptions!$B$4:$E$4,0)),"OK","Below "&amp;INDEX(Assumptions!$B$10:$E$10,1,MATCH(B21,Assumptions!$B$4:$E$4,0))&amp;"x: add accounts or lower quota"),"Pick a segment"))</f>
        <v/>
      </c>
    </row>
    <row r="22">
      <c r="A22" s="20" t="n"/>
      <c r="B22" s="20" t="n"/>
      <c r="C22" s="20" t="n"/>
      <c r="D22" s="23" t="n"/>
      <c r="E22" s="23" t="n"/>
      <c r="F22" s="16">
        <f>IFERROR(E22/D22,"")</f>
        <v/>
      </c>
      <c r="G22" s="10">
        <f>IF(OR(D22="",E22=""),"",IFERROR(IF(F22&gt;=INDEX(Assumptions!$B$10:$E$10,1,MATCH(B22,Assumptions!$B$4:$E$4,0)),"OK","Below "&amp;INDEX(Assumptions!$B$10:$E$10,1,MATCH(B22,Assumptions!$B$4:$E$4,0))&amp;"x: add accounts or lower quota"),"Pick a segment"))</f>
        <v/>
      </c>
    </row>
    <row r="23">
      <c r="A23" s="20" t="n"/>
      <c r="B23" s="20" t="n"/>
      <c r="C23" s="20" t="n"/>
      <c r="D23" s="23" t="n"/>
      <c r="E23" s="23" t="n"/>
      <c r="F23" s="16">
        <f>IFERROR(E23/D23,"")</f>
        <v/>
      </c>
      <c r="G23" s="10">
        <f>IF(OR(D23="",E23=""),"",IFERROR(IF(F23&gt;=INDEX(Assumptions!$B$10:$E$10,1,MATCH(B23,Assumptions!$B$4:$E$4,0)),"OK","Below "&amp;INDEX(Assumptions!$B$10:$E$10,1,MATCH(B23,Assumptions!$B$4:$E$4,0))&amp;"x: add accounts or lower quota"),"Pick a segment"))</f>
        <v/>
      </c>
    </row>
    <row r="24">
      <c r="A24" s="20" t="n"/>
      <c r="B24" s="20" t="n"/>
      <c r="C24" s="20" t="n"/>
      <c r="D24" s="23" t="n"/>
      <c r="E24" s="23" t="n"/>
      <c r="F24" s="16">
        <f>IFERROR(E24/D24,"")</f>
        <v/>
      </c>
      <c r="G24" s="10">
        <f>IF(OR(D24="",E24=""),"",IFERROR(IF(F24&gt;=INDEX(Assumptions!$B$10:$E$10,1,MATCH(B24,Assumptions!$B$4:$E$4,0)),"OK","Below "&amp;INDEX(Assumptions!$B$10:$E$10,1,MATCH(B24,Assumptions!$B$4:$E$4,0))&amp;"x: add accounts or lower quota"),"Pick a segment"))</f>
        <v/>
      </c>
    </row>
    <row r="25">
      <c r="A25" s="20" t="n"/>
      <c r="B25" s="20" t="n"/>
      <c r="C25" s="20" t="n"/>
      <c r="D25" s="23" t="n"/>
      <c r="E25" s="23" t="n"/>
      <c r="F25" s="16">
        <f>IFERROR(E25/D25,"")</f>
        <v/>
      </c>
      <c r="G25" s="10">
        <f>IF(OR(D25="",E25=""),"",IFERROR(IF(F25&gt;=INDEX(Assumptions!$B$10:$E$10,1,MATCH(B25,Assumptions!$B$4:$E$4,0)),"OK","Below "&amp;INDEX(Assumptions!$B$10:$E$10,1,MATCH(B25,Assumptions!$B$4:$E$4,0))&amp;"x: add accounts or lower quota"),"Pick a segment"))</f>
        <v/>
      </c>
    </row>
    <row r="26">
      <c r="A26" s="20" t="n"/>
      <c r="B26" s="20" t="n"/>
      <c r="C26" s="20" t="n"/>
      <c r="D26" s="23" t="n"/>
      <c r="E26" s="23" t="n"/>
      <c r="F26" s="16">
        <f>IFERROR(E26/D26,"")</f>
        <v/>
      </c>
      <c r="G26" s="10">
        <f>IF(OR(D26="",E26=""),"",IFERROR(IF(F26&gt;=INDEX(Assumptions!$B$10:$E$10,1,MATCH(B26,Assumptions!$B$4:$E$4,0)),"OK","Below "&amp;INDEX(Assumptions!$B$10:$E$10,1,MATCH(B26,Assumptions!$B$4:$E$4,0))&amp;"x: add accounts or lower quota"),"Pick a segment"))</f>
        <v/>
      </c>
    </row>
    <row r="27">
      <c r="A27" s="20" t="n"/>
      <c r="B27" s="20" t="n"/>
      <c r="C27" s="20" t="n"/>
      <c r="D27" s="23" t="n"/>
      <c r="E27" s="23" t="n"/>
      <c r="F27" s="16">
        <f>IFERROR(E27/D27,"")</f>
        <v/>
      </c>
      <c r="G27" s="10">
        <f>IF(OR(D27="",E27=""),"",IFERROR(IF(F27&gt;=INDEX(Assumptions!$B$10:$E$10,1,MATCH(B27,Assumptions!$B$4:$E$4,0)),"OK","Below "&amp;INDEX(Assumptions!$B$10:$E$10,1,MATCH(B27,Assumptions!$B$4:$E$4,0))&amp;"x: add accounts or lower quota"),"Pick a segment"))</f>
        <v/>
      </c>
    </row>
    <row r="28">
      <c r="A28" s="20" t="n"/>
      <c r="B28" s="20" t="n"/>
      <c r="C28" s="20" t="n"/>
      <c r="D28" s="23" t="n"/>
      <c r="E28" s="23" t="n"/>
      <c r="F28" s="16">
        <f>IFERROR(E28/D28,"")</f>
        <v/>
      </c>
      <c r="G28" s="10">
        <f>IF(OR(D28="",E28=""),"",IFERROR(IF(F28&gt;=INDEX(Assumptions!$B$10:$E$10,1,MATCH(B28,Assumptions!$B$4:$E$4,0)),"OK","Below "&amp;INDEX(Assumptions!$B$10:$E$10,1,MATCH(B28,Assumptions!$B$4:$E$4,0))&amp;"x: add accounts or lower quota"),"Pick a segment"))</f>
        <v/>
      </c>
    </row>
    <row r="29">
      <c r="A29" s="20" t="n"/>
      <c r="B29" s="20" t="n"/>
      <c r="C29" s="20" t="n"/>
      <c r="D29" s="23" t="n"/>
      <c r="E29" s="23" t="n"/>
      <c r="F29" s="16">
        <f>IFERROR(E29/D29,"")</f>
        <v/>
      </c>
      <c r="G29" s="10">
        <f>IF(OR(D29="",E29=""),"",IFERROR(IF(F29&gt;=INDEX(Assumptions!$B$10:$E$10,1,MATCH(B29,Assumptions!$B$4:$E$4,0)),"OK","Below "&amp;INDEX(Assumptions!$B$10:$E$10,1,MATCH(B29,Assumptions!$B$4:$E$4,0))&amp;"x: add accounts or lower quota"),"Pick a segment"))</f>
        <v/>
      </c>
    </row>
    <row r="30">
      <c r="A30" s="20" t="n"/>
      <c r="B30" s="20" t="n"/>
      <c r="C30" s="20" t="n"/>
      <c r="D30" s="23" t="n"/>
      <c r="E30" s="23" t="n"/>
      <c r="F30" s="16">
        <f>IFERROR(E30/D30,"")</f>
        <v/>
      </c>
      <c r="G30" s="10">
        <f>IF(OR(D30="",E30=""),"",IFERROR(IF(F30&gt;=INDEX(Assumptions!$B$10:$E$10,1,MATCH(B30,Assumptions!$B$4:$E$4,0)),"OK","Below "&amp;INDEX(Assumptions!$B$10:$E$10,1,MATCH(B30,Assumptions!$B$4:$E$4,0))&amp;"x: add accounts or lower quota"),"Pick a segment"))</f>
        <v/>
      </c>
    </row>
    <row r="31">
      <c r="A31" s="20" t="n"/>
      <c r="B31" s="20" t="n"/>
      <c r="C31" s="20" t="n"/>
      <c r="D31" s="23" t="n"/>
      <c r="E31" s="23" t="n"/>
      <c r="F31" s="16">
        <f>IFERROR(E31/D31,"")</f>
        <v/>
      </c>
      <c r="G31" s="10">
        <f>IF(OR(D31="",E31=""),"",IFERROR(IF(F31&gt;=INDEX(Assumptions!$B$10:$E$10,1,MATCH(B31,Assumptions!$B$4:$E$4,0)),"OK","Below "&amp;INDEX(Assumptions!$B$10:$E$10,1,MATCH(B31,Assumptions!$B$4:$E$4,0))&amp;"x: add accounts or lower quota"),"Pick a segment"))</f>
        <v/>
      </c>
    </row>
    <row r="32">
      <c r="A32" s="20" t="n"/>
      <c r="B32" s="20" t="n"/>
      <c r="C32" s="20" t="n"/>
      <c r="D32" s="23" t="n"/>
      <c r="E32" s="23" t="n"/>
      <c r="F32" s="16">
        <f>IFERROR(E32/D32,"")</f>
        <v/>
      </c>
      <c r="G32" s="10">
        <f>IF(OR(D32="",E32=""),"",IFERROR(IF(F32&gt;=INDEX(Assumptions!$B$10:$E$10,1,MATCH(B32,Assumptions!$B$4:$E$4,0)),"OK","Below "&amp;INDEX(Assumptions!$B$10:$E$10,1,MATCH(B32,Assumptions!$B$4:$E$4,0))&amp;"x: add accounts or lower quota"),"Pick a segment"))</f>
        <v/>
      </c>
    </row>
    <row r="33">
      <c r="A33" s="20" t="n"/>
      <c r="B33" s="20" t="n"/>
      <c r="C33" s="20" t="n"/>
      <c r="D33" s="23" t="n"/>
      <c r="E33" s="23" t="n"/>
      <c r="F33" s="16">
        <f>IFERROR(E33/D33,"")</f>
        <v/>
      </c>
      <c r="G33" s="10">
        <f>IF(OR(D33="",E33=""),"",IFERROR(IF(F33&gt;=INDEX(Assumptions!$B$10:$E$10,1,MATCH(B33,Assumptions!$B$4:$E$4,0)),"OK","Below "&amp;INDEX(Assumptions!$B$10:$E$10,1,MATCH(B33,Assumptions!$B$4:$E$4,0))&amp;"x: add accounts or lower quota"),"Pick a segment"))</f>
        <v/>
      </c>
    </row>
    <row r="34">
      <c r="A34" s="20" t="n"/>
      <c r="B34" s="20" t="n"/>
      <c r="C34" s="20" t="n"/>
      <c r="D34" s="23" t="n"/>
      <c r="E34" s="23" t="n"/>
      <c r="F34" s="16">
        <f>IFERROR(E34/D34,"")</f>
        <v/>
      </c>
      <c r="G34" s="10">
        <f>IF(OR(D34="",E34=""),"",IFERROR(IF(F34&gt;=INDEX(Assumptions!$B$10:$E$10,1,MATCH(B34,Assumptions!$B$4:$E$4,0)),"OK","Below "&amp;INDEX(Assumptions!$B$10:$E$10,1,MATCH(B34,Assumptions!$B$4:$E$4,0))&amp;"x: add accounts or lower quota"),"Pick a segment"))</f>
        <v/>
      </c>
    </row>
    <row r="36">
      <c r="A36" s="3" t="inlineStr">
        <is>
          <t>Quota check by segment</t>
        </is>
      </c>
    </row>
    <row r="37">
      <c r="A37" s="9" t="inlineStr">
        <is>
          <t>Segment</t>
        </is>
      </c>
      <c r="B37" s="9" t="inlineStr">
        <is>
          <t>Territory quota ($)</t>
        </is>
      </c>
      <c r="C37" s="9" t="inlineStr">
        <is>
          <t>Segment target ($)</t>
        </is>
      </c>
      <c r="D37" s="9" t="inlineStr">
        <is>
          <t>Quota over target</t>
        </is>
      </c>
      <c r="E37" s="9" t="inlineStr">
        <is>
          <t>Territories below the multiple</t>
        </is>
      </c>
    </row>
    <row r="38">
      <c r="A38" s="10">
        <f>IF(Assumptions!B4="","",Assumptions!B4)</f>
        <v/>
      </c>
      <c r="B38" s="11">
        <f>IF(A38="",0,SUMIF($B$5:$B$34,A38,$D$5:$D$34))</f>
        <v/>
      </c>
      <c r="C38" s="11">
        <f>Targets!C12</f>
        <v/>
      </c>
      <c r="D38" s="12">
        <f>IFERROR(B38/C38-1,0)</f>
        <v/>
      </c>
      <c r="E38" s="14">
        <f>IF(A38="",0,COUNTIFS($B$5:$B$34,A38,$G$5:$G$34,"Below*"))</f>
        <v/>
      </c>
    </row>
    <row r="39">
      <c r="A39" s="10">
        <f>IF(Assumptions!C4="","",Assumptions!C4)</f>
        <v/>
      </c>
      <c r="B39" s="11">
        <f>IF(A39="",0,SUMIF($B$5:$B$34,A39,$D$5:$D$34))</f>
        <v/>
      </c>
      <c r="C39" s="11">
        <f>Targets!C13</f>
        <v/>
      </c>
      <c r="D39" s="12">
        <f>IFERROR(B39/C39-1,0)</f>
        <v/>
      </c>
      <c r="E39" s="14">
        <f>IF(A39="",0,COUNTIFS($B$5:$B$34,A39,$G$5:$G$34,"Below*"))</f>
        <v/>
      </c>
    </row>
    <row r="40">
      <c r="A40" s="10">
        <f>IF(Assumptions!D4="","",Assumptions!D4)</f>
        <v/>
      </c>
      <c r="B40" s="11">
        <f>IF(A40="",0,SUMIF($B$5:$B$34,A40,$D$5:$D$34))</f>
        <v/>
      </c>
      <c r="C40" s="11">
        <f>Targets!C14</f>
        <v/>
      </c>
      <c r="D40" s="12">
        <f>IFERROR(B40/C40-1,0)</f>
        <v/>
      </c>
      <c r="E40" s="14">
        <f>IF(A40="",0,COUNTIFS($B$5:$B$34,A40,$G$5:$G$34,"Below*"))</f>
        <v/>
      </c>
    </row>
    <row r="41">
      <c r="A41" s="10">
        <f>IF(Assumptions!E4="","",Assumptions!E4)</f>
        <v/>
      </c>
      <c r="B41" s="11">
        <f>IF(A41="",0,SUMIF($B$5:$B$34,A41,$D$5:$D$34))</f>
        <v/>
      </c>
      <c r="C41" s="11">
        <f>Targets!C15</f>
        <v/>
      </c>
      <c r="D41" s="12">
        <f>IFERROR(B41/C41-1,0)</f>
        <v/>
      </c>
      <c r="E41" s="14">
        <f>IF(A41="",0,COUNTIFS($B$5:$B$34,A41,$G$5:$G$34,"Below*"))</f>
        <v/>
      </c>
    </row>
    <row r="43">
      <c r="A43" s="2" t="inlineStr">
        <is>
          <t>Quota over target is normal: reps are asked to sell more than the plan counts on, because not every rep attains and new reps are still ramping. Compare it with Capacity vs target on the Capacity tab.</t>
        </is>
      </c>
    </row>
  </sheetData>
  <dataValidations count="1">
    <dataValidation sqref="B5 B6 B7 B8 B9 B10 B11 B12 B13 B14 B15 B16 B17 B18 B19 B20 B21 B22 B23 B24 B25 B26 B27 B28 B29 B30 B31 B32 B33 B34" showDropDown="0" showInputMessage="0" showErrorMessage="0" allowBlank="1" type="list">
      <formula1>=Assumptions!$B$4:$E$4</formula1>
    </dataValidation>
  </dataValidations>
  <pageMargins left="0.75" right="0.75" top="1" bottom="1" header="0.5" footer="0.5"/>
  <pageSetup orientation="landscape" fitToWidth="1"/>
</worksheet>
</file>

<file path=xl/worksheets/sheet8.xml><?xml version="1.0" encoding="utf-8"?>
<worksheet xmlns="http://schemas.openxmlformats.org/spreadsheetml/2006/main">
  <sheetPr>
    <outlinePr summaryBelow="1" summaryRight="1"/>
    <pageSetUpPr/>
  </sheetPr>
  <dimension ref="A1:F28"/>
  <sheetViews>
    <sheetView showGridLines="0" workbookViewId="0">
      <selection activeCell="A1" sqref="A1"/>
    </sheetView>
  </sheetViews>
  <sheetFormatPr baseColWidth="8" defaultRowHeight="15"/>
  <cols>
    <col width="46" customWidth="1" min="1" max="1"/>
    <col width="16" customWidth="1" min="2" max="2"/>
    <col width="46" customWidth="1" min="3" max="3"/>
    <col width="22" customWidth="1" min="4" max="4"/>
    <col width="12" customWidth="1" min="5" max="5"/>
    <col width="46" customWidth="1" min="6" max="6"/>
  </cols>
  <sheetData>
    <row r="1">
      <c r="A1" s="1" t="inlineStr">
        <is>
          <t>Actions and leading indicators</t>
        </is>
      </c>
    </row>
    <row r="2">
      <c r="A2" s="2" t="inlineStr">
        <is>
          <t>Who does what by when, and what you will watch before the bookings number moves.</t>
        </is>
      </c>
    </row>
    <row r="4">
      <c r="A4" s="9" t="inlineStr">
        <is>
          <t>Action</t>
        </is>
      </c>
      <c r="B4" s="9" t="inlineStr">
        <is>
          <t>Owner</t>
        </is>
      </c>
      <c r="C4" s="9" t="inlineStr">
        <is>
          <t>Due</t>
        </is>
      </c>
      <c r="D4" s="9" t="inlineStr">
        <is>
          <t>Status</t>
        </is>
      </c>
      <c r="E4" s="9" t="inlineStr">
        <is>
          <t>Why it matters</t>
        </is>
      </c>
    </row>
    <row r="5">
      <c r="A5" s="27" t="n"/>
      <c r="B5" s="27" t="n"/>
      <c r="C5" s="33" t="n"/>
      <c r="D5" s="27" t="n"/>
      <c r="E5" s="27" t="n"/>
    </row>
    <row r="6">
      <c r="A6" s="27" t="n"/>
      <c r="B6" s="27" t="n"/>
      <c r="C6" s="33" t="n"/>
      <c r="D6" s="27" t="n"/>
      <c r="E6" s="27" t="n"/>
    </row>
    <row r="7">
      <c r="A7" s="27" t="n"/>
      <c r="B7" s="27" t="n"/>
      <c r="C7" s="33" t="n"/>
      <c r="D7" s="27" t="n"/>
      <c r="E7" s="27" t="n"/>
    </row>
    <row r="8">
      <c r="A8" s="27" t="n"/>
      <c r="B8" s="27" t="n"/>
      <c r="C8" s="33" t="n"/>
      <c r="D8" s="27" t="n"/>
      <c r="E8" s="27" t="n"/>
    </row>
    <row r="9">
      <c r="A9" s="27" t="n"/>
      <c r="B9" s="27" t="n"/>
      <c r="C9" s="33" t="n"/>
      <c r="D9" s="27" t="n"/>
      <c r="E9" s="27" t="n"/>
    </row>
    <row r="10">
      <c r="A10" s="27" t="n"/>
      <c r="B10" s="27" t="n"/>
      <c r="C10" s="33" t="n"/>
      <c r="D10" s="27" t="n"/>
      <c r="E10" s="27" t="n"/>
    </row>
    <row r="11">
      <c r="A11" s="27" t="n"/>
      <c r="B11" s="27" t="n"/>
      <c r="C11" s="33" t="n"/>
      <c r="D11" s="27" t="n"/>
      <c r="E11" s="27" t="n"/>
    </row>
    <row r="12">
      <c r="A12" s="27" t="n"/>
      <c r="B12" s="27" t="n"/>
      <c r="C12" s="33" t="n"/>
      <c r="D12" s="27" t="n"/>
      <c r="E12" s="27" t="n"/>
    </row>
    <row r="13">
      <c r="A13" s="27" t="n"/>
      <c r="B13" s="27" t="n"/>
      <c r="C13" s="33" t="n"/>
      <c r="D13" s="27" t="n"/>
      <c r="E13" s="27" t="n"/>
    </row>
    <row r="14">
      <c r="A14" s="27" t="n"/>
      <c r="B14" s="27" t="n"/>
      <c r="C14" s="33" t="n"/>
      <c r="D14" s="27" t="n"/>
      <c r="E14" s="27" t="n"/>
    </row>
    <row r="15">
      <c r="A15" s="27" t="n"/>
      <c r="B15" s="27" t="n"/>
      <c r="C15" s="33" t="n"/>
      <c r="D15" s="27" t="n"/>
      <c r="E15" s="27" t="n"/>
    </row>
    <row r="16">
      <c r="A16" s="27" t="n"/>
      <c r="B16" s="27" t="n"/>
      <c r="C16" s="33" t="n"/>
      <c r="D16" s="27" t="n"/>
      <c r="E16" s="27" t="n"/>
    </row>
    <row r="19">
      <c r="A19" s="9" t="inlineStr">
        <is>
          <t>Leading indicator</t>
        </is>
      </c>
      <c r="B19" s="9" t="inlineStr">
        <is>
          <t>Plan value</t>
        </is>
      </c>
      <c r="C19" s="9" t="inlineStr">
        <is>
          <t>How to measure</t>
        </is>
      </c>
      <c r="D19" s="9" t="inlineStr">
        <is>
          <t>Owner</t>
        </is>
      </c>
      <c r="E19" s="9" t="inlineStr">
        <is>
          <t>Cadence</t>
        </is>
      </c>
      <c r="F19" s="9" t="inlineStr">
        <is>
          <t>Red flag</t>
        </is>
      </c>
    </row>
    <row r="20">
      <c r="A20" s="10" t="inlineStr">
        <is>
          <t>Opportunities created per month, Mid-market</t>
        </is>
      </c>
      <c r="B20" s="29">
        <f>Pipeline!B11</f>
        <v/>
      </c>
      <c r="C20" s="34" t="inlineStr">
        <is>
          <t>New opportunities that meet your qualified definition</t>
        </is>
      </c>
      <c r="D20" s="34" t="inlineStr">
        <is>
          <t>Marketing and SDR lead</t>
        </is>
      </c>
      <c r="E20" s="34" t="inlineStr">
        <is>
          <t>Weekly</t>
        </is>
      </c>
      <c r="F20" s="34" t="inlineStr">
        <is>
          <t>Two months in a row under plan</t>
        </is>
      </c>
    </row>
    <row r="21">
      <c r="A21" s="10" t="inlineStr">
        <is>
          <t>Opportunities created per month, Enterprise</t>
        </is>
      </c>
      <c r="B21" s="29">
        <f>Pipeline!C11</f>
        <v/>
      </c>
      <c r="C21" s="34" t="inlineStr">
        <is>
          <t>As above</t>
        </is>
      </c>
      <c r="D21" s="34" t="inlineStr">
        <is>
          <t>Enterprise lead</t>
        </is>
      </c>
      <c r="E21" s="34" t="inlineStr">
        <is>
          <t>Weekly</t>
        </is>
      </c>
      <c r="F21" s="34" t="inlineStr">
        <is>
          <t>Two months in a row under plan</t>
        </is>
      </c>
    </row>
    <row r="22">
      <c r="A22" s="10" t="inlineStr">
        <is>
          <t>Win rate, Mid-market</t>
        </is>
      </c>
      <c r="B22" s="12">
        <f>Assumptions!B6</f>
        <v/>
      </c>
      <c r="C22" s="34" t="inlineStr">
        <is>
          <t>Wins / (wins + losses), trailing two quarters</t>
        </is>
      </c>
      <c r="D22" s="34" t="inlineStr">
        <is>
          <t>RevOps</t>
        </is>
      </c>
      <c r="E22" s="34" t="inlineStr">
        <is>
          <t>Monthly</t>
        </is>
      </c>
      <c r="F22" s="34" t="inlineStr">
        <is>
          <t>3 points under plan</t>
        </is>
      </c>
    </row>
    <row r="23">
      <c r="A23" s="10" t="inlineStr">
        <is>
          <t>Win rate, Enterprise</t>
        </is>
      </c>
      <c r="B23" s="12">
        <f>Assumptions!C6</f>
        <v/>
      </c>
      <c r="C23" s="34" t="inlineStr">
        <is>
          <t>As above</t>
        </is>
      </c>
      <c r="D23" s="34" t="inlineStr">
        <is>
          <t>RevOps</t>
        </is>
      </c>
      <c r="E23" s="34" t="inlineStr">
        <is>
          <t>Monthly</t>
        </is>
      </c>
      <c r="F23" s="34" t="inlineStr">
        <is>
          <t>3 points under plan</t>
        </is>
      </c>
    </row>
    <row r="24">
      <c r="A24" s="10" t="inlineStr">
        <is>
          <t>Average deal size, Mid-market</t>
        </is>
      </c>
      <c r="B24" s="11">
        <f>Assumptions!B5</f>
        <v/>
      </c>
      <c r="C24" s="34" t="inlineStr">
        <is>
          <t>Closed-won average</t>
        </is>
      </c>
      <c r="D24" s="34" t="inlineStr">
        <is>
          <t>Finance</t>
        </is>
      </c>
      <c r="E24" s="34" t="inlineStr">
        <is>
          <t>Monthly</t>
        </is>
      </c>
      <c r="F24" s="34" t="inlineStr">
        <is>
          <t>10% under plan</t>
        </is>
      </c>
    </row>
    <row r="25">
      <c r="A25" s="10" t="inlineStr">
        <is>
          <t>Sales cycle, Enterprise (days)</t>
        </is>
      </c>
      <c r="B25" s="14">
        <f>Assumptions!C7</f>
        <v/>
      </c>
      <c r="C25" s="34" t="inlineStr">
        <is>
          <t>Created to closed won, median</t>
        </is>
      </c>
      <c r="D25" s="34" t="inlineStr">
        <is>
          <t>RevOps</t>
        </is>
      </c>
      <c r="E25" s="34" t="inlineStr">
        <is>
          <t>Monthly</t>
        </is>
      </c>
      <c r="F25" s="34" t="inlineStr">
        <is>
          <t>Rising two months in a row</t>
        </is>
      </c>
    </row>
    <row r="26">
      <c r="A26" s="10" t="inlineStr">
        <is>
          <t>Close dates pushed</t>
        </is>
      </c>
      <c r="B26" s="20" t="n"/>
      <c r="C26" s="34" t="inlineStr">
        <is>
          <t>Share of open deals whose close date moved out this month</t>
        </is>
      </c>
      <c r="D26" s="34" t="inlineStr">
        <is>
          <t>RevOps</t>
        </is>
      </c>
      <c r="E26" s="34" t="inlineStr">
        <is>
          <t>Weekly</t>
        </is>
      </c>
      <c r="F26" s="34" t="inlineStr">
        <is>
          <t>Rising trend</t>
        </is>
      </c>
    </row>
    <row r="27">
      <c r="A27" s="10" t="inlineStr">
        <is>
          <t>Stale pipeline</t>
        </is>
      </c>
      <c r="B27" s="20" t="n"/>
      <c r="C27" s="34" t="inlineStr">
        <is>
          <t>Share of open pipeline with no stage, amount or close date change in 90 days</t>
        </is>
      </c>
      <c r="D27" s="34" t="inlineStr">
        <is>
          <t>RevOps</t>
        </is>
      </c>
      <c r="E27" s="34" t="inlineStr">
        <is>
          <t>Monthly</t>
        </is>
      </c>
      <c r="F27" s="34" t="inlineStr">
        <is>
          <t>Rising trend</t>
        </is>
      </c>
    </row>
    <row r="28">
      <c r="A28" s="10" t="inlineStr">
        <is>
          <t>Ramp vs plan</t>
        </is>
      </c>
      <c r="B28" s="20" t="n"/>
      <c r="C28" s="34" t="inlineStr">
        <is>
          <t>New rep bookings / full quota, by tenure level</t>
        </is>
      </c>
      <c r="D28" s="34" t="inlineStr">
        <is>
          <t>Sales Ops</t>
        </is>
      </c>
      <c r="E28" s="34" t="inlineStr">
        <is>
          <t>Monthly</t>
        </is>
      </c>
      <c r="F28" s="34" t="inlineStr">
        <is>
          <t>Under the ramp curve for two levels</t>
        </is>
      </c>
    </row>
  </sheetData>
  <pageMargins left="0.75" right="0.75" top="1" bottom="1" header="0.5" footer="0.5"/>
  <pageSetup orientation="landscape" fitToWidth="1"/>
</worksheet>
</file>

<file path=xl/worksheets/sheet9.xml><?xml version="1.0" encoding="utf-8"?>
<worksheet xmlns="http://schemas.openxmlformats.org/spreadsheetml/2006/main">
  <sheetPr>
    <outlinePr summaryBelow="1" summaryRight="1"/>
    <pageSetUpPr/>
  </sheetPr>
  <dimension ref="A1:I11"/>
  <sheetViews>
    <sheetView showGridLines="0" workbookViewId="0">
      <selection activeCell="A1" sqref="A1"/>
    </sheetView>
  </sheetViews>
  <sheetFormatPr baseColWidth="8" defaultRowHeight="15"/>
  <cols>
    <col width="10" customWidth="1" min="1" max="1"/>
    <col width="18" customWidth="1" min="2" max="2"/>
    <col width="18" customWidth="1" min="3" max="3"/>
    <col width="16" customWidth="1" min="4" max="4"/>
    <col width="13" customWidth="1" min="5" max="5"/>
    <col width="18" customWidth="1" min="6" max="6"/>
    <col width="22" customWidth="1" min="7" max="7"/>
    <col width="16" customWidth="1" min="8" max="8"/>
    <col width="60" customWidth="1" min="9" max="9"/>
  </cols>
  <sheetData>
    <row r="1">
      <c r="A1" s="1" t="inlineStr">
        <is>
          <t>Plan vs actual</t>
        </is>
      </c>
    </row>
    <row r="2">
      <c r="A2" s="2" t="inlineStr">
        <is>
          <t>Fill in actuals at each quarter close. The plan columns fill themselves.</t>
        </is>
      </c>
    </row>
    <row r="4">
      <c r="A4" s="9" t="inlineStr">
        <is>
          <t>Quarter</t>
        </is>
      </c>
      <c r="B4" s="9" t="inlineStr">
        <is>
          <t>Plan bookings ($)</t>
        </is>
      </c>
      <c r="C4" s="9" t="inlineStr">
        <is>
          <t>Actual bookings ($)</t>
        </is>
      </c>
      <c r="D4" s="9" t="inlineStr">
        <is>
          <t>Variance ($)</t>
        </is>
      </c>
      <c r="E4" s="9" t="inlineStr">
        <is>
          <t>Variance (%)</t>
        </is>
      </c>
      <c r="F4" s="9" t="inlineStr">
        <is>
          <t>Plan pipeline ($)</t>
        </is>
      </c>
      <c r="G4" s="9" t="inlineStr">
        <is>
          <t>Actual pipeline created ($)</t>
        </is>
      </c>
      <c r="H4" s="9" t="inlineStr">
        <is>
          <t>Pipeline variance (%)</t>
        </is>
      </c>
      <c r="I4" s="9" t="inlineStr">
        <is>
          <t>What changed and what we will do</t>
        </is>
      </c>
    </row>
    <row r="5">
      <c r="A5" s="10" t="inlineStr">
        <is>
          <t>Q1</t>
        </is>
      </c>
      <c r="B5" s="11">
        <f>Targets!D16</f>
        <v/>
      </c>
      <c r="C5" s="23" t="n"/>
      <c r="D5" s="11">
        <f>IF(C5="","",C5-B5)</f>
        <v/>
      </c>
      <c r="E5" s="19">
        <f>IF(C5="","",IFERROR(C5/B5-1,""))</f>
        <v/>
      </c>
      <c r="F5" s="11">
        <f>Pipeline!F15</f>
        <v/>
      </c>
      <c r="G5" s="23" t="n"/>
      <c r="H5" s="19">
        <f>IF(G5="","",IFERROR(G5/F5-1,""))</f>
        <v/>
      </c>
      <c r="I5" s="27" t="n"/>
    </row>
    <row r="6">
      <c r="A6" s="10" t="inlineStr">
        <is>
          <t>Q2</t>
        </is>
      </c>
      <c r="B6" s="11">
        <f>Targets!E16</f>
        <v/>
      </c>
      <c r="C6" s="23" t="n"/>
      <c r="D6" s="11">
        <f>IF(C6="","",C6-B6)</f>
        <v/>
      </c>
      <c r="E6" s="19">
        <f>IF(C6="","",IFERROR(C6/B6-1,""))</f>
        <v/>
      </c>
      <c r="F6" s="11">
        <f>Pipeline!F16</f>
        <v/>
      </c>
      <c r="G6" s="23" t="n"/>
      <c r="H6" s="19">
        <f>IF(G6="","",IFERROR(G6/F6-1,""))</f>
        <v/>
      </c>
      <c r="I6" s="27" t="n"/>
    </row>
    <row r="7">
      <c r="A7" s="10" t="inlineStr">
        <is>
          <t>Q3</t>
        </is>
      </c>
      <c r="B7" s="11">
        <f>Targets!F16</f>
        <v/>
      </c>
      <c r="C7" s="23" t="n"/>
      <c r="D7" s="11">
        <f>IF(C7="","",C7-B7)</f>
        <v/>
      </c>
      <c r="E7" s="19">
        <f>IF(C7="","",IFERROR(C7/B7-1,""))</f>
        <v/>
      </c>
      <c r="F7" s="11">
        <f>Pipeline!F17</f>
        <v/>
      </c>
      <c r="G7" s="23" t="n"/>
      <c r="H7" s="19">
        <f>IF(G7="","",IFERROR(G7/F7-1,""))</f>
        <v/>
      </c>
      <c r="I7" s="27" t="n"/>
    </row>
    <row r="8">
      <c r="A8" s="10" t="inlineStr">
        <is>
          <t>Q4</t>
        </is>
      </c>
      <c r="B8" s="11">
        <f>Targets!G16</f>
        <v/>
      </c>
      <c r="C8" s="23" t="n"/>
      <c r="D8" s="11">
        <f>IF(C8="","",C8-B8)</f>
        <v/>
      </c>
      <c r="E8" s="19">
        <f>IF(C8="","",IFERROR(C8/B8-1,""))</f>
        <v/>
      </c>
      <c r="F8" s="11">
        <f>Pipeline!F18</f>
        <v/>
      </c>
      <c r="G8" s="23" t="n"/>
      <c r="H8" s="19">
        <f>IF(G8="","",IFERROR(G8/F8-1,""))</f>
        <v/>
      </c>
      <c r="I8" s="27" t="n"/>
    </row>
    <row r="9">
      <c r="A9" s="3" t="inlineStr">
        <is>
          <t>Year</t>
        </is>
      </c>
      <c r="B9" s="6">
        <f>SUM(B5:B8)</f>
        <v/>
      </c>
      <c r="C9" s="6">
        <f>IF(COUNT(C5:C8)=0,"",SUM(C5:C8))</f>
        <v/>
      </c>
      <c r="D9" s="6">
        <f>IF(C9="","",C9-SUMIF(C5:C8,"&lt;&gt;",B5:B8))</f>
        <v/>
      </c>
      <c r="F9" s="6">
        <f>SUM(F5:F8)</f>
        <v/>
      </c>
    </row>
    <row r="11">
      <c r="A11" s="2" t="inlineStr">
        <is>
          <t>Year-to-date variance compares actuals only with the quarters you have filled in.</t>
        </is>
      </c>
    </row>
  </sheetData>
  <pageMargins left="0.75" right="0.75" top="1" bottom="1" header="0.5" footer="0.5"/>
  <pageSetup orientation="landscape"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2026-10-21T20:18:17Z</dcterms:created>
  <dcterms:modified xmlns:dcterms="http://purl.org/dc/terms/" xmlns:xsi="http://www.w3.org/2001/XMLSchema-instance" xsi:type="dcterms:W3CDTF">2026-10-21T20:18:17Z</dcterms:modified>
</cp:coreProperties>
</file>