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ARR bridge" sheetId="3" state="visible" r:id="rId3"/>
    <sheet xmlns:r="http://schemas.openxmlformats.org/officeDocument/2006/relationships" name="Pro forma P&amp;L" sheetId="4" state="visible" r:id="rId4"/>
    <sheet xmlns:r="http://schemas.openxmlformats.org/officeDocument/2006/relationships" name="Scenarios" sheetId="5" state="visible" r:id="rId5"/>
    <sheet xmlns:r="http://schemas.openxmlformats.org/officeDocument/2006/relationships" name="Acquisit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;&quot;-&quot;"/>
    <numFmt numFmtId="165" formatCode="0.0%;[Red]-0.0%;&quot;-&quot;"/>
  </numFmts>
  <fonts count="7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i val="1"/>
      <color rgb="004B5563"/>
    </font>
    <font>
      <b val="1"/>
      <sz val="14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EEF1F4"/>
      </patternFill>
    </fill>
    <fill>
      <patternFill patternType="solid">
        <fgColor rgb="001F2A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1" fontId="0" fillId="2" borderId="0" pivotButton="0" quotePrefix="0" xfId="0"/>
    <xf numFmtId="1" fontId="0" fillId="3" borderId="0" pivotButton="0" quotePrefix="0" xfId="0"/>
    <xf numFmtId="164" fontId="0" fillId="2" borderId="0" pivotButton="0" quotePrefix="0" xfId="0"/>
    <xf numFmtId="0" fontId="5" fillId="4" borderId="0" pivotButton="0" quotePrefix="0" xfId="0"/>
    <xf numFmtId="0" fontId="0" fillId="4" borderId="0" pivotButton="0" quotePrefix="0" xfId="0"/>
    <xf numFmtId="0" fontId="6" fillId="5" borderId="0" applyAlignment="1" pivotButton="0" quotePrefix="0" xfId="0">
      <alignment horizontal="left" wrapText="1"/>
    </xf>
    <xf numFmtId="0" fontId="6" fillId="5" borderId="0" applyAlignment="1" pivotButton="0" quotePrefix="0" xfId="0">
      <alignment horizontal="center" wrapText="1"/>
    </xf>
    <xf numFmtId="165" fontId="0" fillId="2" borderId="0" pivotButton="0" quotePrefix="0" xfId="0"/>
    <xf numFmtId="165" fontId="0" fillId="3" borderId="0" pivotButton="0" quotePrefix="0" xfId="0"/>
    <xf numFmtId="2" fontId="0" fillId="2" borderId="0" pivotButton="0" quotePrefix="0" xfId="0"/>
    <xf numFmtId="164" fontId="0" fillId="3" borderId="0" pivotButton="0" quotePrefix="0" xfId="0"/>
    <xf numFmtId="0" fontId="5" fillId="0" borderId="0" pivotButton="0" quotePrefix="0" xfId="0"/>
    <xf numFmtId="164" fontId="5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ORM pro forma income statement template (SaaS)</t>
        </is>
      </c>
    </row>
    <row r="2">
      <c r="A2" t="inlineStr">
        <is>
          <t>A three-year pro forma P&amp;L built from a driver-based ARR forecast, with Low, Base and High scenarios and an acquisition pro forma. Free from orm-tech.com. No macros. Works in Excel and Google Sheets.</t>
        </is>
      </c>
    </row>
    <row r="3">
      <c r="A3" t="inlineStr"/>
    </row>
    <row r="4">
      <c r="A4" s="2" t="inlineStr">
        <is>
          <t>How to use it</t>
        </is>
      </c>
    </row>
    <row r="5">
      <c r="A5" t="inlineStr">
        <is>
          <t>1. Assumptions tab: enter your company name, the base fiscal year, the ending ARR of that year and the base-year actuals from your closed books.</t>
        </is>
      </c>
    </row>
    <row r="6">
      <c r="A6" t="inlineStr">
        <is>
          <t>2. Still on Assumptions: enter new-logo ARR, expansion and churn for each scenario and year, the quarter weights for bookings, and the cost drivers.</t>
        </is>
      </c>
    </row>
    <row r="7">
      <c r="A7" t="inlineStr">
        <is>
          <t>3. ARR bridge tab: check the quarterly bridge. Subscription revenue comes from the average ARR of each quarter.</t>
        </is>
      </c>
    </row>
    <row r="8">
      <c r="A8" t="inlineStr">
        <is>
          <t>4. Pro forma P&amp;L tab: read the statement for the scenario picked in Assumptions cell C6, the non-GAAP reconciliation, the SaaS metrics and the checks.</t>
        </is>
      </c>
    </row>
    <row r="9">
      <c r="A9" t="inlineStr">
        <is>
          <t>5. Scenarios tab: compare ending ARR, revenue, S&amp;M, EBITDA and net income across Low, Base and High.</t>
        </is>
      </c>
    </row>
    <row r="10">
      <c r="A10" t="inlineStr">
        <is>
          <t>6. Acquisition tab (optional): enter the target's last fiscal year and the deal inputs to see the as-if combined income statement.</t>
        </is>
      </c>
    </row>
    <row r="11">
      <c r="A11" t="inlineStr"/>
    </row>
    <row r="12">
      <c r="A12" s="2" t="inlineStr">
        <is>
          <t>How the statement is built</t>
        </is>
      </c>
    </row>
    <row r="13">
      <c r="A13" t="inlineStr">
        <is>
          <t>Ending ARR = beginning ARR + new-logo ARR + expansion ARR - churn and contraction ARR (each quarter)</t>
        </is>
      </c>
    </row>
    <row r="14">
      <c r="A14" t="inlineStr">
        <is>
          <t>Subscription revenue (quarter) = (beginning ARR + ending ARR) / 2 / 4</t>
        </is>
      </c>
    </row>
    <row r="15">
      <c r="A15" t="inlineStr">
        <is>
          <t>Services revenue = new-logo ARR x services attach rate</t>
        </is>
      </c>
    </row>
    <row r="16">
      <c r="A16" t="inlineStr">
        <is>
          <t>Sales and marketing = new-logo ARR x new CAC ratio + expansion ARR x expansion CAC ratio</t>
        </is>
      </c>
    </row>
    <row r="17">
      <c r="A17" t="inlineStr">
        <is>
          <t>R&amp;D and G&amp;A = total revenue x their % of revenue</t>
        </is>
      </c>
    </row>
    <row r="18">
      <c r="A18" t="inlineStr">
        <is>
          <t>EBITDA = gross profit - operating expenses; operating income = EBITDA - D&amp;A; net income = pretax income - tax on positive pretax income</t>
        </is>
      </c>
    </row>
    <row r="19">
      <c r="A19" t="inlineStr">
        <is>
          <t>Non-GAAP operating income = operating income + stock-based compensation + amortization of acquired intangibles</t>
        </is>
      </c>
    </row>
    <row r="20">
      <c r="A20" t="inlineStr"/>
    </row>
    <row r="21">
      <c r="A21" s="2" t="inlineStr">
        <is>
          <t>Pro forma is not GAAP</t>
        </is>
      </c>
    </row>
    <row r="22">
      <c r="A22" t="inlineStr">
        <is>
          <t>A pro forma statement is a projection or an as-if view. Label it as pro forma, list the assumptions, and show how any adjusted number ties back to the GAAP line it comes from.</t>
        </is>
      </c>
    </row>
    <row r="23">
      <c r="A23" t="inlineStr"/>
    </row>
    <row r="24">
      <c r="A24" s="2" t="inlineStr">
        <is>
          <t>Related ORM templates</t>
        </is>
      </c>
    </row>
    <row r="25">
      <c r="A25" t="inlineStr">
        <is>
          <t>Monthly actuals: https://orm-tech.com/tools/profit-and-loss-template/   36-month forecast with headcount: https://orm-tech.com/tools/financial-forecast-template/   Cash by billing term: https://orm-tech.com/tools/cash-flow-forecast-template/</t>
        </is>
      </c>
    </row>
    <row r="26">
      <c r="A26" t="inlineStr"/>
    </row>
    <row r="27">
      <c r="A27" s="3" t="inlineStr">
        <is>
          <t>The example file uses an illustrative company. Every number in it is made up to show the mechanics. Not accounting, tax or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" customWidth="1" min="1" max="1"/>
    <col width="10" customWidth="1" min="2" max="2"/>
    <col width="15" customWidth="1" min="3" max="3"/>
    <col width="15" customWidth="1" min="4" max="4"/>
    <col width="15" customWidth="1" min="5" max="5"/>
    <col width="58" customWidth="1" min="6" max="6"/>
  </cols>
  <sheetData>
    <row r="1">
      <c r="A1" s="4" t="inlineStr">
        <is>
          <t>Assumptions: every input in one place (yellow cells)</t>
        </is>
      </c>
    </row>
    <row r="2">
      <c r="A2" s="3" t="inlineStr">
        <is>
          <t>Enter costs as positive numbers. Grey cells are formulas. The example values describe an illustrative company, not a real one.</t>
        </is>
      </c>
    </row>
    <row r="4">
      <c r="A4" t="inlineStr">
        <is>
          <t>Company name</t>
        </is>
      </c>
      <c r="C4" s="5" t="inlineStr">
        <is>
          <t>Your company</t>
        </is>
      </c>
      <c r="H4" s="3" t="inlineStr">
        <is>
          <t>Low</t>
        </is>
      </c>
    </row>
    <row r="5">
      <c r="A5" t="inlineStr">
        <is>
          <t>Base fiscal year (the last year of actuals)</t>
        </is>
      </c>
      <c r="C5" s="6" t="n">
        <v>2026</v>
      </c>
      <c r="H5" s="3" t="inlineStr">
        <is>
          <t>Base</t>
        </is>
      </c>
    </row>
    <row r="6">
      <c r="A6" t="inlineStr">
        <is>
          <t>Scenario shown on the Pro forma P&amp;L tab (Low, Base or High)</t>
        </is>
      </c>
      <c r="C6" s="5" t="inlineStr">
        <is>
          <t>Base</t>
        </is>
      </c>
      <c r="H6" s="3" t="inlineStr">
        <is>
          <t>High</t>
        </is>
      </c>
    </row>
    <row r="7">
      <c r="A7" t="inlineStr">
        <is>
          <t>Scenario number (formula)</t>
        </is>
      </c>
      <c r="C7" s="7">
        <f>IFERROR(MATCH(C6,$H$4:$H$6,0),2)</f>
        <v/>
      </c>
    </row>
    <row r="8">
      <c r="A8" t="inlineStr">
        <is>
          <t>Ending ARR of the base year</t>
        </is>
      </c>
      <c r="C8" s="8" t="n"/>
    </row>
    <row r="10">
      <c r="A10" s="9" t="inlineStr">
        <is>
          <t>Base-year actuals (from your closed books)</t>
        </is>
      </c>
      <c r="B10" s="10" t="n"/>
      <c r="C10" s="10" t="n"/>
      <c r="D10" s="10" t="n"/>
      <c r="E10" s="10" t="n"/>
      <c r="F10" s="10" t="n"/>
    </row>
    <row r="11">
      <c r="A11" s="11" t="inlineStr">
        <is>
          <t>Line</t>
        </is>
      </c>
      <c r="B11" s="12" t="inlineStr"/>
      <c r="C11" s="12" t="inlineStr">
        <is>
          <t>Actual</t>
        </is>
      </c>
      <c r="D11" s="12" t="inlineStr"/>
      <c r="E11" s="12" t="inlineStr"/>
      <c r="F11" s="12" t="inlineStr">
        <is>
          <t>Note</t>
        </is>
      </c>
    </row>
    <row r="12">
      <c r="A12" t="inlineStr">
        <is>
          <t>Subscription revenue</t>
        </is>
      </c>
      <c r="C12" s="8" t="n"/>
      <c r="F12" s="3" t="inlineStr">
        <is>
          <t>Recognized, not billed or booked</t>
        </is>
      </c>
    </row>
    <row r="13">
      <c r="A13" t="inlineStr">
        <is>
          <t>Professional services revenue</t>
        </is>
      </c>
      <c r="C13" s="8" t="n"/>
      <c r="F13" s="3" t="inlineStr">
        <is>
          <t>Implementation, training, consulting</t>
        </is>
      </c>
    </row>
    <row r="14">
      <c r="A14" t="inlineStr">
        <is>
          <t>Cost of subscription revenue</t>
        </is>
      </c>
      <c r="C14" s="8" t="n"/>
      <c r="F14" s="3" t="inlineStr">
        <is>
          <t>Hosting, support, customer success</t>
        </is>
      </c>
    </row>
    <row r="15">
      <c r="A15" t="inlineStr">
        <is>
          <t>Cost of services revenue</t>
        </is>
      </c>
      <c r="C15" s="8" t="n"/>
      <c r="F15" s="3" t="inlineStr">
        <is>
          <t>Delivery team and contractors</t>
        </is>
      </c>
    </row>
    <row r="16">
      <c r="A16" t="inlineStr">
        <is>
          <t>Sales and marketing (excluding D&amp;A)</t>
        </is>
      </c>
      <c r="C16" s="8" t="n"/>
      <c r="F16" s="3" t="inlineStr">
        <is>
          <t>Includes commission expense</t>
        </is>
      </c>
    </row>
    <row r="17">
      <c r="A17" t="inlineStr">
        <is>
          <t>Research and development (excluding D&amp;A)</t>
        </is>
      </c>
      <c r="C17" s="8" t="n"/>
      <c r="F17" s="3" t="inlineStr"/>
    </row>
    <row r="18">
      <c r="A18" t="inlineStr">
        <is>
          <t>General and administrative (excluding D&amp;A)</t>
        </is>
      </c>
      <c r="C18" s="8" t="n"/>
      <c r="F18" s="3" t="inlineStr"/>
    </row>
    <row r="19">
      <c r="A19" t="inlineStr">
        <is>
          <t>Depreciation and amortization</t>
        </is>
      </c>
      <c r="C19" s="8" t="n"/>
      <c r="F19" s="3" t="inlineStr"/>
    </row>
    <row r="20">
      <c r="A20" t="inlineStr">
        <is>
          <t>Stock-based compensation inside the lines above</t>
        </is>
      </c>
      <c r="C20" s="8" t="n"/>
      <c r="F20" s="3" t="inlineStr">
        <is>
          <t>Memo line for the non-GAAP view</t>
        </is>
      </c>
    </row>
    <row r="21">
      <c r="A21" t="inlineStr">
        <is>
          <t>Amortization of acquired intangibles inside D&amp;A</t>
        </is>
      </c>
      <c r="C21" s="8" t="n"/>
      <c r="F21" s="3" t="inlineStr">
        <is>
          <t>Memo line for the non-GAAP view</t>
        </is>
      </c>
    </row>
    <row r="22">
      <c r="A22" t="inlineStr">
        <is>
          <t>Interest income</t>
        </is>
      </c>
      <c r="C22" s="8" t="n"/>
      <c r="F22" s="3" t="inlineStr"/>
    </row>
    <row r="23">
      <c r="A23" t="inlineStr">
        <is>
          <t>Interest expense</t>
        </is>
      </c>
      <c r="C23" s="8" t="n"/>
      <c r="F23" s="3" t="inlineStr"/>
    </row>
    <row r="24">
      <c r="A24" t="inlineStr">
        <is>
          <t>Income tax expense</t>
        </is>
      </c>
      <c r="C24" s="8" t="n"/>
      <c r="F24" s="3" t="inlineStr"/>
    </row>
    <row r="25">
      <c r="A25" t="inlineStr">
        <is>
          <t>Total revenue of the year before the base year</t>
        </is>
      </c>
      <c r="C25" s="8" t="n"/>
      <c r="F25" s="3" t="inlineStr">
        <is>
          <t>Only used for base-year growth</t>
        </is>
      </c>
    </row>
    <row r="27">
      <c r="A27" s="9" t="inlineStr">
        <is>
          <t>Share of each year's new-logo ARR booked in each quarter</t>
        </is>
      </c>
      <c r="B27" s="10" t="n"/>
      <c r="C27" s="10" t="n"/>
      <c r="D27" s="10" t="n"/>
      <c r="E27" s="10" t="n"/>
      <c r="F27" s="10" t="n"/>
    </row>
    <row r="28">
      <c r="A28" s="11" t="inlineStr"/>
      <c r="B28" s="12" t="inlineStr"/>
      <c r="C28" s="12" t="inlineStr">
        <is>
          <t>Q1</t>
        </is>
      </c>
      <c r="D28" s="12" t="inlineStr">
        <is>
          <t>Q2</t>
        </is>
      </c>
      <c r="E28" s="12" t="inlineStr">
        <is>
          <t>Q3</t>
        </is>
      </c>
      <c r="F28" s="12" t="inlineStr">
        <is>
          <t>Q4</t>
        </is>
      </c>
    </row>
    <row r="29">
      <c r="A29" t="inlineStr">
        <is>
          <t>Quarter weight (must add to 100%)</t>
        </is>
      </c>
      <c r="C29" s="13" t="n">
        <v>0.25</v>
      </c>
      <c r="D29" s="13" t="n">
        <v>0.25</v>
      </c>
      <c r="E29" s="13" t="n">
        <v>0.25</v>
      </c>
      <c r="F29" s="13" t="n">
        <v>0.25</v>
      </c>
    </row>
    <row r="30">
      <c r="A30" t="inlineStr">
        <is>
          <t>Total</t>
        </is>
      </c>
      <c r="C30" s="14">
        <f>SUM(C29:F29)</f>
        <v/>
      </c>
    </row>
    <row r="32">
      <c r="A32" s="9" t="inlineStr">
        <is>
          <t>Revenue drivers by scenario (the forecast range)</t>
        </is>
      </c>
      <c r="B32" s="10" t="n"/>
      <c r="C32" s="10" t="n"/>
      <c r="D32" s="10" t="n"/>
      <c r="E32" s="10" t="n"/>
      <c r="F32" s="10" t="n"/>
    </row>
    <row r="33">
      <c r="A33" s="11" t="inlineStr">
        <is>
          <t>Driver</t>
        </is>
      </c>
      <c r="B33" s="12" t="inlineStr">
        <is>
          <t>Scenario</t>
        </is>
      </c>
      <c r="C33" s="12">
        <f>"FY"&amp;(C5+1)</f>
        <v/>
      </c>
      <c r="D33" s="12">
        <f>"FY"&amp;(C5+2)</f>
        <v/>
      </c>
      <c r="E33" s="12">
        <f>"FY"&amp;(C5+3)</f>
        <v/>
      </c>
      <c r="F33" s="12" t="inlineStr">
        <is>
          <t>Note</t>
        </is>
      </c>
    </row>
    <row r="34">
      <c r="A34" t="inlineStr">
        <is>
          <t>New-logo ARR booked in the year</t>
        </is>
      </c>
      <c r="B34" t="inlineStr">
        <is>
          <t>Low</t>
        </is>
      </c>
      <c r="C34" s="8" t="n"/>
      <c r="D34" s="8" t="n"/>
      <c r="E34" s="8" t="n"/>
      <c r="F34" s="3" t="inlineStr">
        <is>
          <t>From pipeline, win rate and rep capacity</t>
        </is>
      </c>
    </row>
    <row r="35">
      <c r="A35" t="inlineStr">
        <is>
          <t>Expansion, % of beginning ARR per year</t>
        </is>
      </c>
      <c r="B35" t="inlineStr">
        <is>
          <t>Low</t>
        </is>
      </c>
      <c r="C35" s="13" t="n"/>
      <c r="D35" s="13" t="n"/>
      <c r="E35" s="13" t="n"/>
      <c r="F35" s="3" t="inlineStr">
        <is>
          <t>Upsell, cross-sell, price increases</t>
        </is>
      </c>
    </row>
    <row r="36">
      <c r="A36" t="inlineStr">
        <is>
          <t>Churn and contraction, % of beginning ARR per year</t>
        </is>
      </c>
      <c r="B36" t="inlineStr">
        <is>
          <t>Low</t>
        </is>
      </c>
      <c r="C36" s="13" t="n"/>
      <c r="D36" s="13" t="n"/>
      <c r="E36" s="13" t="n"/>
      <c r="F36" s="3" t="inlineStr">
        <is>
          <t>Lost customers plus downgrades</t>
        </is>
      </c>
    </row>
    <row r="37">
      <c r="A37" t="inlineStr">
        <is>
          <t>New-logo ARR booked in the year</t>
        </is>
      </c>
      <c r="B37" t="inlineStr">
        <is>
          <t>Base</t>
        </is>
      </c>
      <c r="C37" s="8" t="n"/>
      <c r="D37" s="8" t="n"/>
      <c r="E37" s="8" t="n"/>
      <c r="F37" s="3" t="inlineStr">
        <is>
          <t>From pipeline, win rate and rep capacity</t>
        </is>
      </c>
    </row>
    <row r="38">
      <c r="A38" t="inlineStr">
        <is>
          <t>Expansion, % of beginning ARR per year</t>
        </is>
      </c>
      <c r="B38" t="inlineStr">
        <is>
          <t>Base</t>
        </is>
      </c>
      <c r="C38" s="13" t="n"/>
      <c r="D38" s="13" t="n"/>
      <c r="E38" s="13" t="n"/>
      <c r="F38" s="3" t="inlineStr">
        <is>
          <t>Upsell, cross-sell, price increases</t>
        </is>
      </c>
    </row>
    <row r="39">
      <c r="A39" t="inlineStr">
        <is>
          <t>Churn and contraction, % of beginning ARR per year</t>
        </is>
      </c>
      <c r="B39" t="inlineStr">
        <is>
          <t>Base</t>
        </is>
      </c>
      <c r="C39" s="13" t="n"/>
      <c r="D39" s="13" t="n"/>
      <c r="E39" s="13" t="n"/>
      <c r="F39" s="3" t="inlineStr">
        <is>
          <t>Lost customers plus downgrades</t>
        </is>
      </c>
    </row>
    <row r="40">
      <c r="A40" t="inlineStr">
        <is>
          <t>New-logo ARR booked in the year</t>
        </is>
      </c>
      <c r="B40" t="inlineStr">
        <is>
          <t>High</t>
        </is>
      </c>
      <c r="C40" s="8" t="n"/>
      <c r="D40" s="8" t="n"/>
      <c r="E40" s="8" t="n"/>
      <c r="F40" s="3" t="inlineStr">
        <is>
          <t>From pipeline, win rate and rep capacity</t>
        </is>
      </c>
    </row>
    <row r="41">
      <c r="A41" t="inlineStr">
        <is>
          <t>Expansion, % of beginning ARR per year</t>
        </is>
      </c>
      <c r="B41" t="inlineStr">
        <is>
          <t>High</t>
        </is>
      </c>
      <c r="C41" s="13" t="n"/>
      <c r="D41" s="13" t="n"/>
      <c r="E41" s="13" t="n"/>
      <c r="F41" s="3" t="inlineStr">
        <is>
          <t>Upsell, cross-sell, price increases</t>
        </is>
      </c>
    </row>
    <row r="42">
      <c r="A42" t="inlineStr">
        <is>
          <t>Churn and contraction, % of beginning ARR per year</t>
        </is>
      </c>
      <c r="B42" t="inlineStr">
        <is>
          <t>High</t>
        </is>
      </c>
      <c r="C42" s="13" t="n"/>
      <c r="D42" s="13" t="n"/>
      <c r="E42" s="13" t="n"/>
      <c r="F42" s="3" t="inlineStr">
        <is>
          <t>Lost customers plus downgrades</t>
        </is>
      </c>
    </row>
    <row r="44">
      <c r="A44" s="9" t="inlineStr">
        <is>
          <t>Cost and P&amp;L drivers (same in every scenario)</t>
        </is>
      </c>
      <c r="B44" s="10" t="n"/>
      <c r="C44" s="10" t="n"/>
      <c r="D44" s="10" t="n"/>
      <c r="E44" s="10" t="n"/>
      <c r="F44" s="10" t="n"/>
    </row>
    <row r="45">
      <c r="A45" s="11" t="inlineStr">
        <is>
          <t>Driver</t>
        </is>
      </c>
      <c r="B45" s="12" t="inlineStr"/>
      <c r="C45" s="12">
        <f>C33</f>
        <v/>
      </c>
      <c r="D45" s="12">
        <f>D33</f>
        <v/>
      </c>
      <c r="E45" s="12">
        <f>E33</f>
        <v/>
      </c>
      <c r="F45" s="12" t="inlineStr">
        <is>
          <t>Note</t>
        </is>
      </c>
    </row>
    <row r="46">
      <c r="A46" t="inlineStr">
        <is>
          <t>Services revenue, % of new-logo ARR</t>
        </is>
      </c>
      <c r="C46" s="13" t="n"/>
      <c r="D46" s="13" t="n"/>
      <c r="E46" s="13" t="n"/>
      <c r="F46" s="3" t="inlineStr">
        <is>
          <t>Implementation fees sold with new deals</t>
        </is>
      </c>
    </row>
    <row r="47">
      <c r="A47" t="inlineStr">
        <is>
          <t>Cost of subscription revenue, % of subscription revenue</t>
        </is>
      </c>
      <c r="C47" s="13" t="n"/>
      <c r="D47" s="13" t="n"/>
      <c r="E47" s="13" t="n"/>
      <c r="F47" s="3" t="inlineStr">
        <is>
          <t>100% minus subscription gross margin</t>
        </is>
      </c>
    </row>
    <row r="48">
      <c r="A48" t="inlineStr">
        <is>
          <t>Cost of services, % of services revenue</t>
        </is>
      </c>
      <c r="C48" s="13" t="n"/>
      <c r="D48" s="13" t="n"/>
      <c r="E48" s="13" t="n"/>
      <c r="F48" s="3" t="inlineStr">
        <is>
          <t>100% minus services gross margin</t>
        </is>
      </c>
    </row>
    <row r="49">
      <c r="A49" t="inlineStr">
        <is>
          <t>Sales and marketing per $1 of new-logo ARR</t>
        </is>
      </c>
      <c r="C49" s="15" t="n"/>
      <c r="D49" s="15" t="n"/>
      <c r="E49" s="15" t="n"/>
      <c r="F49" s="3" t="inlineStr">
        <is>
          <t>New CAC ratio; Benchmarkit 2025 median is 2.00</t>
        </is>
      </c>
    </row>
    <row r="50">
      <c r="A50" t="inlineStr">
        <is>
          <t>Sales and marketing per $1 of expansion ARR</t>
        </is>
      </c>
      <c r="C50" s="15" t="n"/>
      <c r="D50" s="15" t="n"/>
      <c r="E50" s="15" t="n"/>
      <c r="F50" s="3" t="inlineStr">
        <is>
          <t>Expansion CAC ratio; Benchmarkit 2025 median is 1.00</t>
        </is>
      </c>
    </row>
    <row r="51">
      <c r="A51" t="inlineStr">
        <is>
          <t>Research and development, % of revenue</t>
        </is>
      </c>
      <c r="C51" s="13" t="n"/>
      <c r="D51" s="13" t="n"/>
      <c r="E51" s="13" t="n"/>
      <c r="F51" s="3" t="inlineStr">
        <is>
          <t>Benchmarkit 2025 median is 34%</t>
        </is>
      </c>
    </row>
    <row r="52">
      <c r="A52" t="inlineStr">
        <is>
          <t>General and administrative, % of revenue</t>
        </is>
      </c>
      <c r="C52" s="13" t="n"/>
      <c r="D52" s="13" t="n"/>
      <c r="E52" s="13" t="n"/>
      <c r="F52" s="3" t="inlineStr">
        <is>
          <t>Benchmarkit 2025 median is 24%</t>
        </is>
      </c>
    </row>
    <row r="53">
      <c r="A53" t="inlineStr">
        <is>
          <t>Depreciation and amortization</t>
        </is>
      </c>
      <c r="C53" s="8" t="n"/>
      <c r="D53" s="8" t="n"/>
      <c r="E53" s="8" t="n"/>
      <c r="F53" s="3" t="inlineStr">
        <is>
          <t>From the fixed asset schedule</t>
        </is>
      </c>
    </row>
    <row r="54">
      <c r="A54" t="inlineStr">
        <is>
          <t>Stock-based compensation, % of revenue (memo)</t>
        </is>
      </c>
      <c r="C54" s="13" t="n"/>
      <c r="D54" s="13" t="n"/>
      <c r="E54" s="13" t="n"/>
      <c r="F54" s="3" t="inlineStr">
        <is>
          <t>Already inside the cost lines</t>
        </is>
      </c>
    </row>
    <row r="55">
      <c r="A55" t="inlineStr">
        <is>
          <t>Amortization of acquired intangibles inside D&amp;A (memo)</t>
        </is>
      </c>
      <c r="C55" s="8" t="n"/>
      <c r="D55" s="8" t="n"/>
      <c r="E55" s="8" t="n"/>
      <c r="F55" s="3" t="inlineStr">
        <is>
          <t>Only after an acquisition</t>
        </is>
      </c>
    </row>
    <row r="56">
      <c r="A56" t="inlineStr">
        <is>
          <t>Interest income</t>
        </is>
      </c>
      <c r="C56" s="8" t="n"/>
      <c r="D56" s="8" t="n"/>
      <c r="E56" s="8" t="n"/>
      <c r="F56" s="3" t="inlineStr"/>
    </row>
    <row r="57">
      <c r="A57" t="inlineStr">
        <is>
          <t>Interest expense</t>
        </is>
      </c>
      <c r="C57" s="8" t="n"/>
      <c r="D57" s="8" t="n"/>
      <c r="E57" s="8" t="n"/>
      <c r="F57" s="3" t="inlineStr"/>
    </row>
    <row r="58">
      <c r="A58" t="inlineStr">
        <is>
          <t>Income tax rate on positive pretax income</t>
        </is>
      </c>
      <c r="C58" s="13" t="n">
        <v>0.21</v>
      </c>
      <c r="D58" s="13" t="n">
        <v>0.21</v>
      </c>
      <c r="E58" s="13" t="n">
        <v>0.21</v>
      </c>
      <c r="F58" s="3" t="inlineStr">
        <is>
          <t>21% US federal rate only; no state tax or loss carryforwards</t>
        </is>
      </c>
    </row>
  </sheetData>
  <dataValidations count="1">
    <dataValidation sqref="C6" showDropDown="0" showInputMessage="0" showErrorMessage="0" allowBlank="0" type="list">
      <formula1>"Low,Base,High"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4" t="inlineStr">
        <is>
          <t>ARR bridge by quarter: beginning ARR + new logos + expansion - churn and contraction = ending ARR</t>
        </is>
      </c>
    </row>
    <row r="2">
      <c r="A2" s="3" t="inlineStr">
        <is>
          <t>Subscription revenue for a quarter = (beginning ARR + ending ARR) / 2 / 4, which assumes ARR changes evenly through the quarter.</t>
        </is>
      </c>
    </row>
    <row r="4">
      <c r="A4" s="11" t="inlineStr">
        <is>
          <t>Quarter</t>
        </is>
      </c>
      <c r="B4" s="12">
        <f>"Q1 FY"&amp;(Assumptions!C5+1)</f>
        <v/>
      </c>
      <c r="C4" s="12">
        <f>"Q2 FY"&amp;(Assumptions!C5+1)</f>
        <v/>
      </c>
      <c r="D4" s="12">
        <f>"Q3 FY"&amp;(Assumptions!C5+1)</f>
        <v/>
      </c>
      <c r="E4" s="12">
        <f>"Q4 FY"&amp;(Assumptions!C5+1)</f>
        <v/>
      </c>
      <c r="F4" s="12">
        <f>"Q1 FY"&amp;(Assumptions!C5+2)</f>
        <v/>
      </c>
      <c r="G4" s="12">
        <f>"Q2 FY"&amp;(Assumptions!C5+2)</f>
        <v/>
      </c>
      <c r="H4" s="12">
        <f>"Q3 FY"&amp;(Assumptions!C5+2)</f>
        <v/>
      </c>
      <c r="I4" s="12">
        <f>"Q4 FY"&amp;(Assumptions!C5+2)</f>
        <v/>
      </c>
      <c r="J4" s="12">
        <f>"Q1 FY"&amp;(Assumptions!C5+3)</f>
        <v/>
      </c>
      <c r="K4" s="12">
        <f>"Q2 FY"&amp;(Assumptions!C5+3)</f>
        <v/>
      </c>
      <c r="L4" s="12">
        <f>"Q3 FY"&amp;(Assumptions!C5+3)</f>
        <v/>
      </c>
      <c r="M4" s="12">
        <f>"Q4 FY"&amp;(Assumptions!C5+3)</f>
        <v/>
      </c>
    </row>
    <row r="5">
      <c r="A5" s="3" t="inlineStr">
        <is>
          <t>Year number</t>
        </is>
      </c>
      <c r="B5" t="n">
        <v>1</v>
      </c>
      <c r="C5" t="n">
        <v>1</v>
      </c>
      <c r="D5" t="n">
        <v>1</v>
      </c>
      <c r="E5" t="n">
        <v>1</v>
      </c>
      <c r="F5" t="n">
        <v>2</v>
      </c>
      <c r="G5" t="n">
        <v>2</v>
      </c>
      <c r="H5" t="n">
        <v>2</v>
      </c>
      <c r="I5" t="n">
        <v>2</v>
      </c>
      <c r="J5" t="n">
        <v>3</v>
      </c>
      <c r="K5" t="n">
        <v>3</v>
      </c>
      <c r="L5" t="n">
        <v>3</v>
      </c>
      <c r="M5" t="n">
        <v>3</v>
      </c>
    </row>
    <row r="6">
      <c r="A6" s="3" t="inlineStr">
        <is>
          <t>Quarter number</t>
        </is>
      </c>
      <c r="B6" t="n">
        <v>1</v>
      </c>
      <c r="C6" t="n">
        <v>2</v>
      </c>
      <c r="D6" t="n">
        <v>3</v>
      </c>
      <c r="E6" t="n">
        <v>4</v>
      </c>
      <c r="F6" t="n">
        <v>1</v>
      </c>
      <c r="G6" t="n">
        <v>2</v>
      </c>
      <c r="H6" t="n">
        <v>3</v>
      </c>
      <c r="I6" t="n">
        <v>4</v>
      </c>
      <c r="J6" t="n">
        <v>1</v>
      </c>
      <c r="K6" t="n">
        <v>2</v>
      </c>
      <c r="L6" t="n">
        <v>3</v>
      </c>
      <c r="M6" t="n">
        <v>4</v>
      </c>
    </row>
    <row r="8">
      <c r="A8" s="9" t="inlineStr">
        <is>
          <t>Low scenario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</row>
    <row r="9">
      <c r="A9" t="inlineStr">
        <is>
          <t>Beginning ARR</t>
        </is>
      </c>
      <c r="B9" s="16">
        <f>Assumptions!$C$8</f>
        <v/>
      </c>
      <c r="C9" s="16">
        <f>B13</f>
        <v/>
      </c>
      <c r="D9" s="16">
        <f>C13</f>
        <v/>
      </c>
      <c r="E9" s="16">
        <f>D13</f>
        <v/>
      </c>
      <c r="F9" s="16">
        <f>E13</f>
        <v/>
      </c>
      <c r="G9" s="16">
        <f>F13</f>
        <v/>
      </c>
      <c r="H9" s="16">
        <f>G13</f>
        <v/>
      </c>
      <c r="I9" s="16">
        <f>H13</f>
        <v/>
      </c>
      <c r="J9" s="16">
        <f>I13</f>
        <v/>
      </c>
      <c r="K9" s="16">
        <f>J13</f>
        <v/>
      </c>
      <c r="L9" s="16">
        <f>K13</f>
        <v/>
      </c>
      <c r="M9" s="16">
        <f>L13</f>
        <v/>
      </c>
    </row>
    <row r="10">
      <c r="A10" t="inlineStr">
        <is>
          <t>+ New-logo ARR</t>
        </is>
      </c>
      <c r="B10" s="16">
        <f>N(INDEX(Assumptions!$C$34:$E$34,1,B$5))*INDEX(Assumptions!$C$29:$F$29,1,B$6)</f>
        <v/>
      </c>
      <c r="C10" s="16">
        <f>N(INDEX(Assumptions!$C$34:$E$34,1,C$5))*INDEX(Assumptions!$C$29:$F$29,1,C$6)</f>
        <v/>
      </c>
      <c r="D10" s="16">
        <f>N(INDEX(Assumptions!$C$34:$E$34,1,D$5))*INDEX(Assumptions!$C$29:$F$29,1,D$6)</f>
        <v/>
      </c>
      <c r="E10" s="16">
        <f>N(INDEX(Assumptions!$C$34:$E$34,1,E$5))*INDEX(Assumptions!$C$29:$F$29,1,E$6)</f>
        <v/>
      </c>
      <c r="F10" s="16">
        <f>N(INDEX(Assumptions!$C$34:$E$34,1,F$5))*INDEX(Assumptions!$C$29:$F$29,1,F$6)</f>
        <v/>
      </c>
      <c r="G10" s="16">
        <f>N(INDEX(Assumptions!$C$34:$E$34,1,G$5))*INDEX(Assumptions!$C$29:$F$29,1,G$6)</f>
        <v/>
      </c>
      <c r="H10" s="16">
        <f>N(INDEX(Assumptions!$C$34:$E$34,1,H$5))*INDEX(Assumptions!$C$29:$F$29,1,H$6)</f>
        <v/>
      </c>
      <c r="I10" s="16">
        <f>N(INDEX(Assumptions!$C$34:$E$34,1,I$5))*INDEX(Assumptions!$C$29:$F$29,1,I$6)</f>
        <v/>
      </c>
      <c r="J10" s="16">
        <f>N(INDEX(Assumptions!$C$34:$E$34,1,J$5))*INDEX(Assumptions!$C$29:$F$29,1,J$6)</f>
        <v/>
      </c>
      <c r="K10" s="16">
        <f>N(INDEX(Assumptions!$C$34:$E$34,1,K$5))*INDEX(Assumptions!$C$29:$F$29,1,K$6)</f>
        <v/>
      </c>
      <c r="L10" s="16">
        <f>N(INDEX(Assumptions!$C$34:$E$34,1,L$5))*INDEX(Assumptions!$C$29:$F$29,1,L$6)</f>
        <v/>
      </c>
      <c r="M10" s="16">
        <f>N(INDEX(Assumptions!$C$34:$E$34,1,M$5))*INDEX(Assumptions!$C$29:$F$29,1,M$6)</f>
        <v/>
      </c>
    </row>
    <row r="11">
      <c r="A11" t="inlineStr">
        <is>
          <t>+ Expansion ARR</t>
        </is>
      </c>
      <c r="B11" s="16">
        <f>B9*N(INDEX(Assumptions!$C$35:$E$35,1,B$5))/4</f>
        <v/>
      </c>
      <c r="C11" s="16">
        <f>C9*N(INDEX(Assumptions!$C$35:$E$35,1,C$5))/4</f>
        <v/>
      </c>
      <c r="D11" s="16">
        <f>D9*N(INDEX(Assumptions!$C$35:$E$35,1,D$5))/4</f>
        <v/>
      </c>
      <c r="E11" s="16">
        <f>E9*N(INDEX(Assumptions!$C$35:$E$35,1,E$5))/4</f>
        <v/>
      </c>
      <c r="F11" s="16">
        <f>F9*N(INDEX(Assumptions!$C$35:$E$35,1,F$5))/4</f>
        <v/>
      </c>
      <c r="G11" s="16">
        <f>G9*N(INDEX(Assumptions!$C$35:$E$35,1,G$5))/4</f>
        <v/>
      </c>
      <c r="H11" s="16">
        <f>H9*N(INDEX(Assumptions!$C$35:$E$35,1,H$5))/4</f>
        <v/>
      </c>
      <c r="I11" s="16">
        <f>I9*N(INDEX(Assumptions!$C$35:$E$35,1,I$5))/4</f>
        <v/>
      </c>
      <c r="J11" s="16">
        <f>J9*N(INDEX(Assumptions!$C$35:$E$35,1,J$5))/4</f>
        <v/>
      </c>
      <c r="K11" s="16">
        <f>K9*N(INDEX(Assumptions!$C$35:$E$35,1,K$5))/4</f>
        <v/>
      </c>
      <c r="L11" s="16">
        <f>L9*N(INDEX(Assumptions!$C$35:$E$35,1,L$5))/4</f>
        <v/>
      </c>
      <c r="M11" s="16">
        <f>M9*N(INDEX(Assumptions!$C$35:$E$35,1,M$5))/4</f>
        <v/>
      </c>
    </row>
    <row r="12">
      <c r="A12" t="inlineStr">
        <is>
          <t>- Churn and contraction ARR</t>
        </is>
      </c>
      <c r="B12" s="16">
        <f>B9*N(INDEX(Assumptions!$C$36:$E$36,1,B$5))/4</f>
        <v/>
      </c>
      <c r="C12" s="16">
        <f>C9*N(INDEX(Assumptions!$C$36:$E$36,1,C$5))/4</f>
        <v/>
      </c>
      <c r="D12" s="16">
        <f>D9*N(INDEX(Assumptions!$C$36:$E$36,1,D$5))/4</f>
        <v/>
      </c>
      <c r="E12" s="16">
        <f>E9*N(INDEX(Assumptions!$C$36:$E$36,1,E$5))/4</f>
        <v/>
      </c>
      <c r="F12" s="16">
        <f>F9*N(INDEX(Assumptions!$C$36:$E$36,1,F$5))/4</f>
        <v/>
      </c>
      <c r="G12" s="16">
        <f>G9*N(INDEX(Assumptions!$C$36:$E$36,1,G$5))/4</f>
        <v/>
      </c>
      <c r="H12" s="16">
        <f>H9*N(INDEX(Assumptions!$C$36:$E$36,1,H$5))/4</f>
        <v/>
      </c>
      <c r="I12" s="16">
        <f>I9*N(INDEX(Assumptions!$C$36:$E$36,1,I$5))/4</f>
        <v/>
      </c>
      <c r="J12" s="16">
        <f>J9*N(INDEX(Assumptions!$C$36:$E$36,1,J$5))/4</f>
        <v/>
      </c>
      <c r="K12" s="16">
        <f>K9*N(INDEX(Assumptions!$C$36:$E$36,1,K$5))/4</f>
        <v/>
      </c>
      <c r="L12" s="16">
        <f>L9*N(INDEX(Assumptions!$C$36:$E$36,1,L$5))/4</f>
        <v/>
      </c>
      <c r="M12" s="16">
        <f>M9*N(INDEX(Assumptions!$C$36:$E$36,1,M$5))/4</f>
        <v/>
      </c>
    </row>
    <row r="13">
      <c r="A13" s="17" t="inlineStr">
        <is>
          <t>Ending ARR</t>
        </is>
      </c>
      <c r="B13" s="18">
        <f>B9+B10+B11-B12</f>
        <v/>
      </c>
      <c r="C13" s="18">
        <f>C9+C10+C11-C12</f>
        <v/>
      </c>
      <c r="D13" s="18">
        <f>D9+D10+D11-D12</f>
        <v/>
      </c>
      <c r="E13" s="18">
        <f>E9+E10+E11-E12</f>
        <v/>
      </c>
      <c r="F13" s="18">
        <f>F9+F10+F11-F12</f>
        <v/>
      </c>
      <c r="G13" s="18">
        <f>G9+G10+G11-G12</f>
        <v/>
      </c>
      <c r="H13" s="18">
        <f>H9+H10+H11-H12</f>
        <v/>
      </c>
      <c r="I13" s="18">
        <f>I9+I10+I11-I12</f>
        <v/>
      </c>
      <c r="J13" s="18">
        <f>J9+J10+J11-J12</f>
        <v/>
      </c>
      <c r="K13" s="18">
        <f>K9+K10+K11-K12</f>
        <v/>
      </c>
      <c r="L13" s="18">
        <f>L9+L10+L11-L12</f>
        <v/>
      </c>
      <c r="M13" s="18">
        <f>M9+M10+M11-M12</f>
        <v/>
      </c>
    </row>
    <row r="14">
      <c r="A14" s="17" t="inlineStr">
        <is>
          <t>Subscription revenue</t>
        </is>
      </c>
      <c r="B14" s="18">
        <f>(B9+B13)/8</f>
        <v/>
      </c>
      <c r="C14" s="18">
        <f>(C9+C13)/8</f>
        <v/>
      </c>
      <c r="D14" s="18">
        <f>(D9+D13)/8</f>
        <v/>
      </c>
      <c r="E14" s="18">
        <f>(E9+E13)/8</f>
        <v/>
      </c>
      <c r="F14" s="18">
        <f>(F9+F13)/8</f>
        <v/>
      </c>
      <c r="G14" s="18">
        <f>(G9+G13)/8</f>
        <v/>
      </c>
      <c r="H14" s="18">
        <f>(H9+H13)/8</f>
        <v/>
      </c>
      <c r="I14" s="18">
        <f>(I9+I13)/8</f>
        <v/>
      </c>
      <c r="J14" s="18">
        <f>(J9+J13)/8</f>
        <v/>
      </c>
      <c r="K14" s="18">
        <f>(K9+K13)/8</f>
        <v/>
      </c>
      <c r="L14" s="18">
        <f>(L9+L13)/8</f>
        <v/>
      </c>
      <c r="M14" s="18">
        <f>(M9+M13)/8</f>
        <v/>
      </c>
    </row>
    <row r="16">
      <c r="A16" s="9" t="inlineStr">
        <is>
          <t>Base scenario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</row>
    <row r="17">
      <c r="A17" t="inlineStr">
        <is>
          <t>Beginning ARR</t>
        </is>
      </c>
      <c r="B17" s="16">
        <f>Assumptions!$C$8</f>
        <v/>
      </c>
      <c r="C17" s="16">
        <f>B21</f>
        <v/>
      </c>
      <c r="D17" s="16">
        <f>C21</f>
        <v/>
      </c>
      <c r="E17" s="16">
        <f>D21</f>
        <v/>
      </c>
      <c r="F17" s="16">
        <f>E21</f>
        <v/>
      </c>
      <c r="G17" s="16">
        <f>F21</f>
        <v/>
      </c>
      <c r="H17" s="16">
        <f>G21</f>
        <v/>
      </c>
      <c r="I17" s="16">
        <f>H21</f>
        <v/>
      </c>
      <c r="J17" s="16">
        <f>I21</f>
        <v/>
      </c>
      <c r="K17" s="16">
        <f>J21</f>
        <v/>
      </c>
      <c r="L17" s="16">
        <f>K21</f>
        <v/>
      </c>
      <c r="M17" s="16">
        <f>L21</f>
        <v/>
      </c>
    </row>
    <row r="18">
      <c r="A18" t="inlineStr">
        <is>
          <t>+ New-logo ARR</t>
        </is>
      </c>
      <c r="B18" s="16">
        <f>N(INDEX(Assumptions!$C$37:$E$37,1,B$5))*INDEX(Assumptions!$C$29:$F$29,1,B$6)</f>
        <v/>
      </c>
      <c r="C18" s="16">
        <f>N(INDEX(Assumptions!$C$37:$E$37,1,C$5))*INDEX(Assumptions!$C$29:$F$29,1,C$6)</f>
        <v/>
      </c>
      <c r="D18" s="16">
        <f>N(INDEX(Assumptions!$C$37:$E$37,1,D$5))*INDEX(Assumptions!$C$29:$F$29,1,D$6)</f>
        <v/>
      </c>
      <c r="E18" s="16">
        <f>N(INDEX(Assumptions!$C$37:$E$37,1,E$5))*INDEX(Assumptions!$C$29:$F$29,1,E$6)</f>
        <v/>
      </c>
      <c r="F18" s="16">
        <f>N(INDEX(Assumptions!$C$37:$E$37,1,F$5))*INDEX(Assumptions!$C$29:$F$29,1,F$6)</f>
        <v/>
      </c>
      <c r="G18" s="16">
        <f>N(INDEX(Assumptions!$C$37:$E$37,1,G$5))*INDEX(Assumptions!$C$29:$F$29,1,G$6)</f>
        <v/>
      </c>
      <c r="H18" s="16">
        <f>N(INDEX(Assumptions!$C$37:$E$37,1,H$5))*INDEX(Assumptions!$C$29:$F$29,1,H$6)</f>
        <v/>
      </c>
      <c r="I18" s="16">
        <f>N(INDEX(Assumptions!$C$37:$E$37,1,I$5))*INDEX(Assumptions!$C$29:$F$29,1,I$6)</f>
        <v/>
      </c>
      <c r="J18" s="16">
        <f>N(INDEX(Assumptions!$C$37:$E$37,1,J$5))*INDEX(Assumptions!$C$29:$F$29,1,J$6)</f>
        <v/>
      </c>
      <c r="K18" s="16">
        <f>N(INDEX(Assumptions!$C$37:$E$37,1,K$5))*INDEX(Assumptions!$C$29:$F$29,1,K$6)</f>
        <v/>
      </c>
      <c r="L18" s="16">
        <f>N(INDEX(Assumptions!$C$37:$E$37,1,L$5))*INDEX(Assumptions!$C$29:$F$29,1,L$6)</f>
        <v/>
      </c>
      <c r="M18" s="16">
        <f>N(INDEX(Assumptions!$C$37:$E$37,1,M$5))*INDEX(Assumptions!$C$29:$F$29,1,M$6)</f>
        <v/>
      </c>
    </row>
    <row r="19">
      <c r="A19" t="inlineStr">
        <is>
          <t>+ Expansion ARR</t>
        </is>
      </c>
      <c r="B19" s="16">
        <f>B17*N(INDEX(Assumptions!$C$38:$E$38,1,B$5))/4</f>
        <v/>
      </c>
      <c r="C19" s="16">
        <f>C17*N(INDEX(Assumptions!$C$38:$E$38,1,C$5))/4</f>
        <v/>
      </c>
      <c r="D19" s="16">
        <f>D17*N(INDEX(Assumptions!$C$38:$E$38,1,D$5))/4</f>
        <v/>
      </c>
      <c r="E19" s="16">
        <f>E17*N(INDEX(Assumptions!$C$38:$E$38,1,E$5))/4</f>
        <v/>
      </c>
      <c r="F19" s="16">
        <f>F17*N(INDEX(Assumptions!$C$38:$E$38,1,F$5))/4</f>
        <v/>
      </c>
      <c r="G19" s="16">
        <f>G17*N(INDEX(Assumptions!$C$38:$E$38,1,G$5))/4</f>
        <v/>
      </c>
      <c r="H19" s="16">
        <f>H17*N(INDEX(Assumptions!$C$38:$E$38,1,H$5))/4</f>
        <v/>
      </c>
      <c r="I19" s="16">
        <f>I17*N(INDEX(Assumptions!$C$38:$E$38,1,I$5))/4</f>
        <v/>
      </c>
      <c r="J19" s="16">
        <f>J17*N(INDEX(Assumptions!$C$38:$E$38,1,J$5))/4</f>
        <v/>
      </c>
      <c r="K19" s="16">
        <f>K17*N(INDEX(Assumptions!$C$38:$E$38,1,K$5))/4</f>
        <v/>
      </c>
      <c r="L19" s="16">
        <f>L17*N(INDEX(Assumptions!$C$38:$E$38,1,L$5))/4</f>
        <v/>
      </c>
      <c r="M19" s="16">
        <f>M17*N(INDEX(Assumptions!$C$38:$E$38,1,M$5))/4</f>
        <v/>
      </c>
    </row>
    <row r="20">
      <c r="A20" t="inlineStr">
        <is>
          <t>- Churn and contraction ARR</t>
        </is>
      </c>
      <c r="B20" s="16">
        <f>B17*N(INDEX(Assumptions!$C$39:$E$39,1,B$5))/4</f>
        <v/>
      </c>
      <c r="C20" s="16">
        <f>C17*N(INDEX(Assumptions!$C$39:$E$39,1,C$5))/4</f>
        <v/>
      </c>
      <c r="D20" s="16">
        <f>D17*N(INDEX(Assumptions!$C$39:$E$39,1,D$5))/4</f>
        <v/>
      </c>
      <c r="E20" s="16">
        <f>E17*N(INDEX(Assumptions!$C$39:$E$39,1,E$5))/4</f>
        <v/>
      </c>
      <c r="F20" s="16">
        <f>F17*N(INDEX(Assumptions!$C$39:$E$39,1,F$5))/4</f>
        <v/>
      </c>
      <c r="G20" s="16">
        <f>G17*N(INDEX(Assumptions!$C$39:$E$39,1,G$5))/4</f>
        <v/>
      </c>
      <c r="H20" s="16">
        <f>H17*N(INDEX(Assumptions!$C$39:$E$39,1,H$5))/4</f>
        <v/>
      </c>
      <c r="I20" s="16">
        <f>I17*N(INDEX(Assumptions!$C$39:$E$39,1,I$5))/4</f>
        <v/>
      </c>
      <c r="J20" s="16">
        <f>J17*N(INDEX(Assumptions!$C$39:$E$39,1,J$5))/4</f>
        <v/>
      </c>
      <c r="K20" s="16">
        <f>K17*N(INDEX(Assumptions!$C$39:$E$39,1,K$5))/4</f>
        <v/>
      </c>
      <c r="L20" s="16">
        <f>L17*N(INDEX(Assumptions!$C$39:$E$39,1,L$5))/4</f>
        <v/>
      </c>
      <c r="M20" s="16">
        <f>M17*N(INDEX(Assumptions!$C$39:$E$39,1,M$5))/4</f>
        <v/>
      </c>
    </row>
    <row r="21">
      <c r="A21" s="17" t="inlineStr">
        <is>
          <t>Ending ARR</t>
        </is>
      </c>
      <c r="B21" s="18">
        <f>B17+B18+B19-B20</f>
        <v/>
      </c>
      <c r="C21" s="18">
        <f>C17+C18+C19-C20</f>
        <v/>
      </c>
      <c r="D21" s="18">
        <f>D17+D18+D19-D20</f>
        <v/>
      </c>
      <c r="E21" s="18">
        <f>E17+E18+E19-E20</f>
        <v/>
      </c>
      <c r="F21" s="18">
        <f>F17+F18+F19-F20</f>
        <v/>
      </c>
      <c r="G21" s="18">
        <f>G17+G18+G19-G20</f>
        <v/>
      </c>
      <c r="H21" s="18">
        <f>H17+H18+H19-H20</f>
        <v/>
      </c>
      <c r="I21" s="18">
        <f>I17+I18+I19-I20</f>
        <v/>
      </c>
      <c r="J21" s="18">
        <f>J17+J18+J19-J20</f>
        <v/>
      </c>
      <c r="K21" s="18">
        <f>K17+K18+K19-K20</f>
        <v/>
      </c>
      <c r="L21" s="18">
        <f>L17+L18+L19-L20</f>
        <v/>
      </c>
      <c r="M21" s="18">
        <f>M17+M18+M19-M20</f>
        <v/>
      </c>
    </row>
    <row r="22">
      <c r="A22" s="17" t="inlineStr">
        <is>
          <t>Subscription revenue</t>
        </is>
      </c>
      <c r="B22" s="18">
        <f>(B17+B21)/8</f>
        <v/>
      </c>
      <c r="C22" s="18">
        <f>(C17+C21)/8</f>
        <v/>
      </c>
      <c r="D22" s="18">
        <f>(D17+D21)/8</f>
        <v/>
      </c>
      <c r="E22" s="18">
        <f>(E17+E21)/8</f>
        <v/>
      </c>
      <c r="F22" s="18">
        <f>(F17+F21)/8</f>
        <v/>
      </c>
      <c r="G22" s="18">
        <f>(G17+G21)/8</f>
        <v/>
      </c>
      <c r="H22" s="18">
        <f>(H17+H21)/8</f>
        <v/>
      </c>
      <c r="I22" s="18">
        <f>(I17+I21)/8</f>
        <v/>
      </c>
      <c r="J22" s="18">
        <f>(J17+J21)/8</f>
        <v/>
      </c>
      <c r="K22" s="18">
        <f>(K17+K21)/8</f>
        <v/>
      </c>
      <c r="L22" s="18">
        <f>(L17+L21)/8</f>
        <v/>
      </c>
      <c r="M22" s="18">
        <f>(M17+M21)/8</f>
        <v/>
      </c>
    </row>
    <row r="24">
      <c r="A24" s="9" t="inlineStr">
        <is>
          <t>High scenario</t>
        </is>
      </c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</row>
    <row r="25">
      <c r="A25" t="inlineStr">
        <is>
          <t>Beginning ARR</t>
        </is>
      </c>
      <c r="B25" s="16">
        <f>Assumptions!$C$8</f>
        <v/>
      </c>
      <c r="C25" s="16">
        <f>B29</f>
        <v/>
      </c>
      <c r="D25" s="16">
        <f>C29</f>
        <v/>
      </c>
      <c r="E25" s="16">
        <f>D29</f>
        <v/>
      </c>
      <c r="F25" s="16">
        <f>E29</f>
        <v/>
      </c>
      <c r="G25" s="16">
        <f>F29</f>
        <v/>
      </c>
      <c r="H25" s="16">
        <f>G29</f>
        <v/>
      </c>
      <c r="I25" s="16">
        <f>H29</f>
        <v/>
      </c>
      <c r="J25" s="16">
        <f>I29</f>
        <v/>
      </c>
      <c r="K25" s="16">
        <f>J29</f>
        <v/>
      </c>
      <c r="L25" s="16">
        <f>K29</f>
        <v/>
      </c>
      <c r="M25" s="16">
        <f>L29</f>
        <v/>
      </c>
    </row>
    <row r="26">
      <c r="A26" t="inlineStr">
        <is>
          <t>+ New-logo ARR</t>
        </is>
      </c>
      <c r="B26" s="16">
        <f>N(INDEX(Assumptions!$C$40:$E$40,1,B$5))*INDEX(Assumptions!$C$29:$F$29,1,B$6)</f>
        <v/>
      </c>
      <c r="C26" s="16">
        <f>N(INDEX(Assumptions!$C$40:$E$40,1,C$5))*INDEX(Assumptions!$C$29:$F$29,1,C$6)</f>
        <v/>
      </c>
      <c r="D26" s="16">
        <f>N(INDEX(Assumptions!$C$40:$E$40,1,D$5))*INDEX(Assumptions!$C$29:$F$29,1,D$6)</f>
        <v/>
      </c>
      <c r="E26" s="16">
        <f>N(INDEX(Assumptions!$C$40:$E$40,1,E$5))*INDEX(Assumptions!$C$29:$F$29,1,E$6)</f>
        <v/>
      </c>
      <c r="F26" s="16">
        <f>N(INDEX(Assumptions!$C$40:$E$40,1,F$5))*INDEX(Assumptions!$C$29:$F$29,1,F$6)</f>
        <v/>
      </c>
      <c r="G26" s="16">
        <f>N(INDEX(Assumptions!$C$40:$E$40,1,G$5))*INDEX(Assumptions!$C$29:$F$29,1,G$6)</f>
        <v/>
      </c>
      <c r="H26" s="16">
        <f>N(INDEX(Assumptions!$C$40:$E$40,1,H$5))*INDEX(Assumptions!$C$29:$F$29,1,H$6)</f>
        <v/>
      </c>
      <c r="I26" s="16">
        <f>N(INDEX(Assumptions!$C$40:$E$40,1,I$5))*INDEX(Assumptions!$C$29:$F$29,1,I$6)</f>
        <v/>
      </c>
      <c r="J26" s="16">
        <f>N(INDEX(Assumptions!$C$40:$E$40,1,J$5))*INDEX(Assumptions!$C$29:$F$29,1,J$6)</f>
        <v/>
      </c>
      <c r="K26" s="16">
        <f>N(INDEX(Assumptions!$C$40:$E$40,1,K$5))*INDEX(Assumptions!$C$29:$F$29,1,K$6)</f>
        <v/>
      </c>
      <c r="L26" s="16">
        <f>N(INDEX(Assumptions!$C$40:$E$40,1,L$5))*INDEX(Assumptions!$C$29:$F$29,1,L$6)</f>
        <v/>
      </c>
      <c r="M26" s="16">
        <f>N(INDEX(Assumptions!$C$40:$E$40,1,M$5))*INDEX(Assumptions!$C$29:$F$29,1,M$6)</f>
        <v/>
      </c>
    </row>
    <row r="27">
      <c r="A27" t="inlineStr">
        <is>
          <t>+ Expansion ARR</t>
        </is>
      </c>
      <c r="B27" s="16">
        <f>B25*N(INDEX(Assumptions!$C$41:$E$41,1,B$5))/4</f>
        <v/>
      </c>
      <c r="C27" s="16">
        <f>C25*N(INDEX(Assumptions!$C$41:$E$41,1,C$5))/4</f>
        <v/>
      </c>
      <c r="D27" s="16">
        <f>D25*N(INDEX(Assumptions!$C$41:$E$41,1,D$5))/4</f>
        <v/>
      </c>
      <c r="E27" s="16">
        <f>E25*N(INDEX(Assumptions!$C$41:$E$41,1,E$5))/4</f>
        <v/>
      </c>
      <c r="F27" s="16">
        <f>F25*N(INDEX(Assumptions!$C$41:$E$41,1,F$5))/4</f>
        <v/>
      </c>
      <c r="G27" s="16">
        <f>G25*N(INDEX(Assumptions!$C$41:$E$41,1,G$5))/4</f>
        <v/>
      </c>
      <c r="H27" s="16">
        <f>H25*N(INDEX(Assumptions!$C$41:$E$41,1,H$5))/4</f>
        <v/>
      </c>
      <c r="I27" s="16">
        <f>I25*N(INDEX(Assumptions!$C$41:$E$41,1,I$5))/4</f>
        <v/>
      </c>
      <c r="J27" s="16">
        <f>J25*N(INDEX(Assumptions!$C$41:$E$41,1,J$5))/4</f>
        <v/>
      </c>
      <c r="K27" s="16">
        <f>K25*N(INDEX(Assumptions!$C$41:$E$41,1,K$5))/4</f>
        <v/>
      </c>
      <c r="L27" s="16">
        <f>L25*N(INDEX(Assumptions!$C$41:$E$41,1,L$5))/4</f>
        <v/>
      </c>
      <c r="M27" s="16">
        <f>M25*N(INDEX(Assumptions!$C$41:$E$41,1,M$5))/4</f>
        <v/>
      </c>
    </row>
    <row r="28">
      <c r="A28" t="inlineStr">
        <is>
          <t>- Churn and contraction ARR</t>
        </is>
      </c>
      <c r="B28" s="16">
        <f>B25*N(INDEX(Assumptions!$C$42:$E$42,1,B$5))/4</f>
        <v/>
      </c>
      <c r="C28" s="16">
        <f>C25*N(INDEX(Assumptions!$C$42:$E$42,1,C$5))/4</f>
        <v/>
      </c>
      <c r="D28" s="16">
        <f>D25*N(INDEX(Assumptions!$C$42:$E$42,1,D$5))/4</f>
        <v/>
      </c>
      <c r="E28" s="16">
        <f>E25*N(INDEX(Assumptions!$C$42:$E$42,1,E$5))/4</f>
        <v/>
      </c>
      <c r="F28" s="16">
        <f>F25*N(INDEX(Assumptions!$C$42:$E$42,1,F$5))/4</f>
        <v/>
      </c>
      <c r="G28" s="16">
        <f>G25*N(INDEX(Assumptions!$C$42:$E$42,1,G$5))/4</f>
        <v/>
      </c>
      <c r="H28" s="16">
        <f>H25*N(INDEX(Assumptions!$C$42:$E$42,1,H$5))/4</f>
        <v/>
      </c>
      <c r="I28" s="16">
        <f>I25*N(INDEX(Assumptions!$C$42:$E$42,1,I$5))/4</f>
        <v/>
      </c>
      <c r="J28" s="16">
        <f>J25*N(INDEX(Assumptions!$C$42:$E$42,1,J$5))/4</f>
        <v/>
      </c>
      <c r="K28" s="16">
        <f>K25*N(INDEX(Assumptions!$C$42:$E$42,1,K$5))/4</f>
        <v/>
      </c>
      <c r="L28" s="16">
        <f>L25*N(INDEX(Assumptions!$C$42:$E$42,1,L$5))/4</f>
        <v/>
      </c>
      <c r="M28" s="16">
        <f>M25*N(INDEX(Assumptions!$C$42:$E$42,1,M$5))/4</f>
        <v/>
      </c>
    </row>
    <row r="29">
      <c r="A29" s="17" t="inlineStr">
        <is>
          <t>Ending ARR</t>
        </is>
      </c>
      <c r="B29" s="18">
        <f>B25+B26+B27-B28</f>
        <v/>
      </c>
      <c r="C29" s="18">
        <f>C25+C26+C27-C28</f>
        <v/>
      </c>
      <c r="D29" s="18">
        <f>D25+D26+D27-D28</f>
        <v/>
      </c>
      <c r="E29" s="18">
        <f>E25+E26+E27-E28</f>
        <v/>
      </c>
      <c r="F29" s="18">
        <f>F25+F26+F27-F28</f>
        <v/>
      </c>
      <c r="G29" s="18">
        <f>G25+G26+G27-G28</f>
        <v/>
      </c>
      <c r="H29" s="18">
        <f>H25+H26+H27-H28</f>
        <v/>
      </c>
      <c r="I29" s="18">
        <f>I25+I26+I27-I28</f>
        <v/>
      </c>
      <c r="J29" s="18">
        <f>J25+J26+J27-J28</f>
        <v/>
      </c>
      <c r="K29" s="18">
        <f>K25+K26+K27-K28</f>
        <v/>
      </c>
      <c r="L29" s="18">
        <f>L25+L26+L27-L28</f>
        <v/>
      </c>
      <c r="M29" s="18">
        <f>M25+M26+M27-M28</f>
        <v/>
      </c>
    </row>
    <row r="30">
      <c r="A30" s="17" t="inlineStr">
        <is>
          <t>Subscription revenue</t>
        </is>
      </c>
      <c r="B30" s="18">
        <f>(B25+B29)/8</f>
        <v/>
      </c>
      <c r="C30" s="18">
        <f>(C25+C29)/8</f>
        <v/>
      </c>
      <c r="D30" s="18">
        <f>(D25+D29)/8</f>
        <v/>
      </c>
      <c r="E30" s="18">
        <f>(E25+E29)/8</f>
        <v/>
      </c>
      <c r="F30" s="18">
        <f>(F25+F29)/8</f>
        <v/>
      </c>
      <c r="G30" s="18">
        <f>(G25+G29)/8</f>
        <v/>
      </c>
      <c r="H30" s="18">
        <f>(H25+H29)/8</f>
        <v/>
      </c>
      <c r="I30" s="18">
        <f>(I25+I29)/8</f>
        <v/>
      </c>
      <c r="J30" s="18">
        <f>(J25+J29)/8</f>
        <v/>
      </c>
      <c r="K30" s="18">
        <f>(K25+K29)/8</f>
        <v/>
      </c>
      <c r="L30" s="18">
        <f>(L25+L29)/8</f>
        <v/>
      </c>
      <c r="M30" s="18">
        <f>(M25+M29)/8</f>
        <v/>
      </c>
    </row>
    <row r="32">
      <c r="A32" s="9">
        <f>"Selected scenario: "&amp;Assumptions!C6</f>
        <v/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</row>
    <row r="33">
      <c r="A33" t="inlineStr">
        <is>
          <t>Beginning ARR</t>
        </is>
      </c>
      <c r="B33" s="16">
        <f>CHOOSE(Assumptions!C7,B9,B17,B25)</f>
        <v/>
      </c>
      <c r="C33" s="16">
        <f>CHOOSE(Assumptions!C7,C9,C17,C25)</f>
        <v/>
      </c>
      <c r="D33" s="16">
        <f>CHOOSE(Assumptions!C7,D9,D17,D25)</f>
        <v/>
      </c>
      <c r="E33" s="16">
        <f>CHOOSE(Assumptions!C7,E9,E17,E25)</f>
        <v/>
      </c>
      <c r="F33" s="16">
        <f>CHOOSE(Assumptions!C7,F9,F17,F25)</f>
        <v/>
      </c>
      <c r="G33" s="16">
        <f>CHOOSE(Assumptions!C7,G9,G17,G25)</f>
        <v/>
      </c>
      <c r="H33" s="16">
        <f>CHOOSE(Assumptions!C7,H9,H17,H25)</f>
        <v/>
      </c>
      <c r="I33" s="16">
        <f>CHOOSE(Assumptions!C7,I9,I17,I25)</f>
        <v/>
      </c>
      <c r="J33" s="16">
        <f>CHOOSE(Assumptions!C7,J9,J17,J25)</f>
        <v/>
      </c>
      <c r="K33" s="16">
        <f>CHOOSE(Assumptions!C7,K9,K17,K25)</f>
        <v/>
      </c>
      <c r="L33" s="16">
        <f>CHOOSE(Assumptions!C7,L9,L17,L25)</f>
        <v/>
      </c>
      <c r="M33" s="16">
        <f>CHOOSE(Assumptions!C7,M9,M17,M25)</f>
        <v/>
      </c>
    </row>
    <row r="34">
      <c r="A34" t="inlineStr">
        <is>
          <t>+ New-logo ARR</t>
        </is>
      </c>
      <c r="B34" s="16">
        <f>CHOOSE(Assumptions!C7,B10,B18,B26)</f>
        <v/>
      </c>
      <c r="C34" s="16">
        <f>CHOOSE(Assumptions!C7,C10,C18,C26)</f>
        <v/>
      </c>
      <c r="D34" s="16">
        <f>CHOOSE(Assumptions!C7,D10,D18,D26)</f>
        <v/>
      </c>
      <c r="E34" s="16">
        <f>CHOOSE(Assumptions!C7,E10,E18,E26)</f>
        <v/>
      </c>
      <c r="F34" s="16">
        <f>CHOOSE(Assumptions!C7,F10,F18,F26)</f>
        <v/>
      </c>
      <c r="G34" s="16">
        <f>CHOOSE(Assumptions!C7,G10,G18,G26)</f>
        <v/>
      </c>
      <c r="H34" s="16">
        <f>CHOOSE(Assumptions!C7,H10,H18,H26)</f>
        <v/>
      </c>
      <c r="I34" s="16">
        <f>CHOOSE(Assumptions!C7,I10,I18,I26)</f>
        <v/>
      </c>
      <c r="J34" s="16">
        <f>CHOOSE(Assumptions!C7,J10,J18,J26)</f>
        <v/>
      </c>
      <c r="K34" s="16">
        <f>CHOOSE(Assumptions!C7,K10,K18,K26)</f>
        <v/>
      </c>
      <c r="L34" s="16">
        <f>CHOOSE(Assumptions!C7,L10,L18,L26)</f>
        <v/>
      </c>
      <c r="M34" s="16">
        <f>CHOOSE(Assumptions!C7,M10,M18,M26)</f>
        <v/>
      </c>
    </row>
    <row r="35">
      <c r="A35" t="inlineStr">
        <is>
          <t>+ Expansion ARR</t>
        </is>
      </c>
      <c r="B35" s="16">
        <f>CHOOSE(Assumptions!C7,B11,B19,B27)</f>
        <v/>
      </c>
      <c r="C35" s="16">
        <f>CHOOSE(Assumptions!C7,C11,C19,C27)</f>
        <v/>
      </c>
      <c r="D35" s="16">
        <f>CHOOSE(Assumptions!C7,D11,D19,D27)</f>
        <v/>
      </c>
      <c r="E35" s="16">
        <f>CHOOSE(Assumptions!C7,E11,E19,E27)</f>
        <v/>
      </c>
      <c r="F35" s="16">
        <f>CHOOSE(Assumptions!C7,F11,F19,F27)</f>
        <v/>
      </c>
      <c r="G35" s="16">
        <f>CHOOSE(Assumptions!C7,G11,G19,G27)</f>
        <v/>
      </c>
      <c r="H35" s="16">
        <f>CHOOSE(Assumptions!C7,H11,H19,H27)</f>
        <v/>
      </c>
      <c r="I35" s="16">
        <f>CHOOSE(Assumptions!C7,I11,I19,I27)</f>
        <v/>
      </c>
      <c r="J35" s="16">
        <f>CHOOSE(Assumptions!C7,J11,J19,J27)</f>
        <v/>
      </c>
      <c r="K35" s="16">
        <f>CHOOSE(Assumptions!C7,K11,K19,K27)</f>
        <v/>
      </c>
      <c r="L35" s="16">
        <f>CHOOSE(Assumptions!C7,L11,L19,L27)</f>
        <v/>
      </c>
      <c r="M35" s="16">
        <f>CHOOSE(Assumptions!C7,M11,M19,M27)</f>
        <v/>
      </c>
    </row>
    <row r="36">
      <c r="A36" t="inlineStr">
        <is>
          <t>- Churn and contraction ARR</t>
        </is>
      </c>
      <c r="B36" s="16">
        <f>CHOOSE(Assumptions!C7,B12,B20,B28)</f>
        <v/>
      </c>
      <c r="C36" s="16">
        <f>CHOOSE(Assumptions!C7,C12,C20,C28)</f>
        <v/>
      </c>
      <c r="D36" s="16">
        <f>CHOOSE(Assumptions!C7,D12,D20,D28)</f>
        <v/>
      </c>
      <c r="E36" s="16">
        <f>CHOOSE(Assumptions!C7,E12,E20,E28)</f>
        <v/>
      </c>
      <c r="F36" s="16">
        <f>CHOOSE(Assumptions!C7,F12,F20,F28)</f>
        <v/>
      </c>
      <c r="G36" s="16">
        <f>CHOOSE(Assumptions!C7,G12,G20,G28)</f>
        <v/>
      </c>
      <c r="H36" s="16">
        <f>CHOOSE(Assumptions!C7,H12,H20,H28)</f>
        <v/>
      </c>
      <c r="I36" s="16">
        <f>CHOOSE(Assumptions!C7,I12,I20,I28)</f>
        <v/>
      </c>
      <c r="J36" s="16">
        <f>CHOOSE(Assumptions!C7,J12,J20,J28)</f>
        <v/>
      </c>
      <c r="K36" s="16">
        <f>CHOOSE(Assumptions!C7,K12,K20,K28)</f>
        <v/>
      </c>
      <c r="L36" s="16">
        <f>CHOOSE(Assumptions!C7,L12,L20,L28)</f>
        <v/>
      </c>
      <c r="M36" s="16">
        <f>CHOOSE(Assumptions!C7,M12,M20,M28)</f>
        <v/>
      </c>
    </row>
    <row r="37">
      <c r="A37" s="17" t="inlineStr">
        <is>
          <t>Ending ARR</t>
        </is>
      </c>
      <c r="B37" s="18">
        <f>B33+B34+B35-B36</f>
        <v/>
      </c>
      <c r="C37" s="18">
        <f>C33+C34+C35-C36</f>
        <v/>
      </c>
      <c r="D37" s="18">
        <f>D33+D34+D35-D36</f>
        <v/>
      </c>
      <c r="E37" s="18">
        <f>E33+E34+E35-E36</f>
        <v/>
      </c>
      <c r="F37" s="18">
        <f>F33+F34+F35-F36</f>
        <v/>
      </c>
      <c r="G37" s="18">
        <f>G33+G34+G35-G36</f>
        <v/>
      </c>
      <c r="H37" s="18">
        <f>H33+H34+H35-H36</f>
        <v/>
      </c>
      <c r="I37" s="18">
        <f>I33+I34+I35-I36</f>
        <v/>
      </c>
      <c r="J37" s="18">
        <f>J33+J34+J35-J36</f>
        <v/>
      </c>
      <c r="K37" s="18">
        <f>K33+K34+K35-K36</f>
        <v/>
      </c>
      <c r="L37" s="18">
        <f>L33+L34+L35-L36</f>
        <v/>
      </c>
      <c r="M37" s="18">
        <f>M33+M34+M35-M36</f>
        <v/>
      </c>
    </row>
    <row r="38">
      <c r="A38" s="17" t="inlineStr">
        <is>
          <t>Subscription revenue</t>
        </is>
      </c>
      <c r="B38" s="18">
        <f>(B33+B37)/8</f>
        <v/>
      </c>
      <c r="C38" s="18">
        <f>(C33+C37)/8</f>
        <v/>
      </c>
      <c r="D38" s="18">
        <f>(D33+D37)/8</f>
        <v/>
      </c>
      <c r="E38" s="18">
        <f>(E33+E37)/8</f>
        <v/>
      </c>
      <c r="F38" s="18">
        <f>(F33+F37)/8</f>
        <v/>
      </c>
      <c r="G38" s="18">
        <f>(G33+G37)/8</f>
        <v/>
      </c>
      <c r="H38" s="18">
        <f>(H33+H37)/8</f>
        <v/>
      </c>
      <c r="I38" s="18">
        <f>(I33+I37)/8</f>
        <v/>
      </c>
      <c r="J38" s="18">
        <f>(J33+J37)/8</f>
        <v/>
      </c>
      <c r="K38" s="18">
        <f>(K33+K37)/8</f>
        <v/>
      </c>
      <c r="L38" s="18">
        <f>(L33+L37)/8</f>
        <v/>
      </c>
      <c r="M38" s="18">
        <f>(M33+M37)/8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6" customWidth="1" min="1" max="1"/>
    <col width="16" customWidth="1" min="2" max="2"/>
    <col width="16" customWidth="1" min="3" max="3"/>
    <col width="16" customWidth="1" min="4" max="4"/>
    <col width="16" customWidth="1" min="5" max="5"/>
    <col width="3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4">
        <f>"Pro forma income statement: "&amp;Assumptions!C4</f>
        <v/>
      </c>
    </row>
    <row r="2">
      <c r="A2" s="3">
        <f>"Scenario: "&amp;Assumptions!C6&amp;". Base year is actual; the next three years are pro forma (projected from the drivers on the Assumptions tab). Not GAAP financial statements."</f>
        <v/>
      </c>
    </row>
    <row r="4">
      <c r="A4" s="11" t="inlineStr">
        <is>
          <t>Line</t>
        </is>
      </c>
      <c r="B4" s="12">
        <f>"FY"&amp;Assumptions!C5&amp;" actual"</f>
        <v/>
      </c>
      <c r="C4" s="12">
        <f>"FY"&amp;(Assumptions!C5+1)&amp;" pro forma"</f>
        <v/>
      </c>
      <c r="D4" s="12">
        <f>"FY"&amp;(Assumptions!C5+2)&amp;" pro forma"</f>
        <v/>
      </c>
      <c r="E4" s="12">
        <f>"FY"&amp;(Assumptions!C5+3)&amp;" pro forma"</f>
        <v/>
      </c>
      <c r="F4" s="12" t="inlineStr"/>
      <c r="G4" s="12" t="inlineStr">
        <is>
          <t>% of revenue</t>
        </is>
      </c>
      <c r="H4" s="12">
        <f>"FY"&amp;Assumptions!C5</f>
        <v/>
      </c>
      <c r="I4" s="12">
        <f>"FY"&amp;(Assumptions!C5+1)</f>
        <v/>
      </c>
      <c r="J4" s="12">
        <f>"FY"&amp;(Assumptions!C5+2)</f>
        <v/>
      </c>
      <c r="K4">
        <f>"FY"&amp;(Assumptions!C5+3)</f>
        <v/>
      </c>
    </row>
    <row r="5">
      <c r="A5" s="9" t="inlineStr">
        <is>
          <t>REVENUE</t>
        </is>
      </c>
      <c r="B5" s="10" t="n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</row>
    <row r="6">
      <c r="A6" t="inlineStr">
        <is>
          <t>Subscription revenue</t>
        </is>
      </c>
      <c r="B6" s="16">
        <f>Assumptions!C12</f>
        <v/>
      </c>
      <c r="C6" s="16">
        <f>SUMIF('ARR bridge'!$B$5:$M$5,1,'ARR bridge'!$B$38:$M$38)</f>
        <v/>
      </c>
      <c r="D6" s="16">
        <f>SUMIF('ARR bridge'!$B$5:$M$5,2,'ARR bridge'!$B$38:$M$38)</f>
        <v/>
      </c>
      <c r="E6" s="16">
        <f>SUMIF('ARR bridge'!$B$5:$M$5,3,'ARR bridge'!$B$38:$M$38)</f>
        <v/>
      </c>
      <c r="H6" s="14">
        <f>IFERROR(B6/B$8,0)</f>
        <v/>
      </c>
      <c r="I6" s="14">
        <f>IFERROR(C6/C$8,0)</f>
        <v/>
      </c>
      <c r="J6" s="14">
        <f>IFERROR(D6/D$8,0)</f>
        <v/>
      </c>
      <c r="K6" s="14">
        <f>IFERROR(E6/E$8,0)</f>
        <v/>
      </c>
    </row>
    <row r="7">
      <c r="A7" t="inlineStr">
        <is>
          <t>Professional services revenue</t>
        </is>
      </c>
      <c r="B7" s="16">
        <f>Assumptions!C13</f>
        <v/>
      </c>
      <c r="C7" s="16">
        <f>SUMIF('ARR bridge'!$B$5:$M$5,1,'ARR bridge'!$B$34:$M$34)*Assumptions!C46</f>
        <v/>
      </c>
      <c r="D7" s="16">
        <f>SUMIF('ARR bridge'!$B$5:$M$5,2,'ARR bridge'!$B$34:$M$34)*Assumptions!D46</f>
        <v/>
      </c>
      <c r="E7" s="16">
        <f>SUMIF('ARR bridge'!$B$5:$M$5,3,'ARR bridge'!$B$34:$M$34)*Assumptions!E46</f>
        <v/>
      </c>
      <c r="H7" s="14">
        <f>IFERROR(B7/B$8,0)</f>
        <v/>
      </c>
      <c r="I7" s="14">
        <f>IFERROR(C7/C$8,0)</f>
        <v/>
      </c>
      <c r="J7" s="14">
        <f>IFERROR(D7/D$8,0)</f>
        <v/>
      </c>
      <c r="K7" s="14">
        <f>IFERROR(E7/E$8,0)</f>
        <v/>
      </c>
    </row>
    <row r="8">
      <c r="A8" s="17" t="inlineStr">
        <is>
          <t>Total revenue</t>
        </is>
      </c>
      <c r="B8" s="18">
        <f>B6+B7</f>
        <v/>
      </c>
      <c r="C8" s="18">
        <f>C6+C7</f>
        <v/>
      </c>
      <c r="D8" s="18">
        <f>D6+D7</f>
        <v/>
      </c>
      <c r="E8" s="18">
        <f>E6+E7</f>
        <v/>
      </c>
      <c r="H8" s="14">
        <f>IFERROR(B8/B$8,0)</f>
        <v/>
      </c>
      <c r="I8" s="14">
        <f>IFERROR(C8/C$8,0)</f>
        <v/>
      </c>
      <c r="J8" s="14">
        <f>IFERROR(D8/D$8,0)</f>
        <v/>
      </c>
      <c r="K8" s="14">
        <f>IFERROR(E8/E$8,0)</f>
        <v/>
      </c>
    </row>
    <row r="9">
      <c r="A9" s="9" t="inlineStr">
        <is>
          <t>COST OF REVENUE</t>
        </is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</row>
    <row r="10">
      <c r="A10" t="inlineStr">
        <is>
          <t>Cost of subscription revenue</t>
        </is>
      </c>
      <c r="B10" s="16">
        <f>Assumptions!C14</f>
        <v/>
      </c>
      <c r="C10" s="16">
        <f>C6*Assumptions!C47</f>
        <v/>
      </c>
      <c r="D10" s="16">
        <f>D6*Assumptions!D47</f>
        <v/>
      </c>
      <c r="E10" s="16">
        <f>E6*Assumptions!E47</f>
        <v/>
      </c>
      <c r="H10" s="14">
        <f>IFERROR(B10/B$8,0)</f>
        <v/>
      </c>
      <c r="I10" s="14">
        <f>IFERROR(C10/C$8,0)</f>
        <v/>
      </c>
      <c r="J10" s="14">
        <f>IFERROR(D10/D$8,0)</f>
        <v/>
      </c>
      <c r="K10" s="14">
        <f>IFERROR(E10/E$8,0)</f>
        <v/>
      </c>
    </row>
    <row r="11">
      <c r="A11" t="inlineStr">
        <is>
          <t>Cost of services revenue</t>
        </is>
      </c>
      <c r="B11" s="16">
        <f>Assumptions!C15</f>
        <v/>
      </c>
      <c r="C11" s="16">
        <f>C7*Assumptions!C48</f>
        <v/>
      </c>
      <c r="D11" s="16">
        <f>D7*Assumptions!D48</f>
        <v/>
      </c>
      <c r="E11" s="16">
        <f>E7*Assumptions!E48</f>
        <v/>
      </c>
      <c r="H11" s="14">
        <f>IFERROR(B11/B$8,0)</f>
        <v/>
      </c>
      <c r="I11" s="14">
        <f>IFERROR(C11/C$8,0)</f>
        <v/>
      </c>
      <c r="J11" s="14">
        <f>IFERROR(D11/D$8,0)</f>
        <v/>
      </c>
      <c r="K11" s="14">
        <f>IFERROR(E11/E$8,0)</f>
        <v/>
      </c>
    </row>
    <row r="12">
      <c r="A12" s="17" t="inlineStr">
        <is>
          <t>Total cost of revenue</t>
        </is>
      </c>
      <c r="B12" s="18">
        <f>B10+B11</f>
        <v/>
      </c>
      <c r="C12" s="18">
        <f>C10+C11</f>
        <v/>
      </c>
      <c r="D12" s="18">
        <f>D10+D11</f>
        <v/>
      </c>
      <c r="E12" s="18">
        <f>E10+E11</f>
        <v/>
      </c>
      <c r="H12" s="14">
        <f>IFERROR(B12/B$8,0)</f>
        <v/>
      </c>
      <c r="I12" s="14">
        <f>IFERROR(C12/C$8,0)</f>
        <v/>
      </c>
      <c r="J12" s="14">
        <f>IFERROR(D12/D$8,0)</f>
        <v/>
      </c>
      <c r="K12" s="14">
        <f>IFERROR(E12/E$8,0)</f>
        <v/>
      </c>
    </row>
    <row r="13">
      <c r="A13" s="17" t="inlineStr">
        <is>
          <t>Gross profit</t>
        </is>
      </c>
      <c r="B13" s="18">
        <f>B8-B12</f>
        <v/>
      </c>
      <c r="C13" s="18">
        <f>C8-C12</f>
        <v/>
      </c>
      <c r="D13" s="18">
        <f>D8-D12</f>
        <v/>
      </c>
      <c r="E13" s="18">
        <f>E8-E12</f>
        <v/>
      </c>
      <c r="H13" s="14">
        <f>IFERROR(B13/B$8,0)</f>
        <v/>
      </c>
      <c r="I13" s="14">
        <f>IFERROR(C13/C$8,0)</f>
        <v/>
      </c>
      <c r="J13" s="14">
        <f>IFERROR(D13/D$8,0)</f>
        <v/>
      </c>
      <c r="K13" s="14">
        <f>IFERROR(E13/E$8,0)</f>
        <v/>
      </c>
    </row>
    <row r="14">
      <c r="A14" t="inlineStr">
        <is>
          <t>Gross margin</t>
        </is>
      </c>
      <c r="B14" s="14">
        <f>IFERROR(B13/B8,0)</f>
        <v/>
      </c>
      <c r="C14" s="14">
        <f>IFERROR(C13/C8,0)</f>
        <v/>
      </c>
      <c r="D14" s="14">
        <f>IFERROR(D13/D8,0)</f>
        <v/>
      </c>
      <c r="E14" s="14">
        <f>IFERROR(E13/E8,0)</f>
        <v/>
      </c>
    </row>
    <row r="15">
      <c r="A15" s="9" t="inlineStr">
        <is>
          <t>OPERATING EXPENSES (excluding depreciation and amortization)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</row>
    <row r="16">
      <c r="A16" t="inlineStr">
        <is>
          <t>Sales and marketing</t>
        </is>
      </c>
      <c r="B16" s="16">
        <f>Assumptions!C16</f>
        <v/>
      </c>
      <c r="C16" s="16">
        <f>SUMIF('ARR bridge'!$B$5:$M$5,1,'ARR bridge'!$B$34:$M$34)*Assumptions!C49+SUMIF('ARR bridge'!$B$5:$M$5,1,'ARR bridge'!$B$35:$M$35)*Assumptions!C50</f>
        <v/>
      </c>
      <c r="D16" s="16">
        <f>SUMIF('ARR bridge'!$B$5:$M$5,2,'ARR bridge'!$B$34:$M$34)*Assumptions!D49+SUMIF('ARR bridge'!$B$5:$M$5,2,'ARR bridge'!$B$35:$M$35)*Assumptions!D50</f>
        <v/>
      </c>
      <c r="E16" s="16">
        <f>SUMIF('ARR bridge'!$B$5:$M$5,3,'ARR bridge'!$B$34:$M$34)*Assumptions!E49+SUMIF('ARR bridge'!$B$5:$M$5,3,'ARR bridge'!$B$35:$M$35)*Assumptions!E50</f>
        <v/>
      </c>
      <c r="H16" s="14">
        <f>IFERROR(B16/B$8,0)</f>
        <v/>
      </c>
      <c r="I16" s="14">
        <f>IFERROR(C16/C$8,0)</f>
        <v/>
      </c>
      <c r="J16" s="14">
        <f>IFERROR(D16/D$8,0)</f>
        <v/>
      </c>
      <c r="K16" s="14">
        <f>IFERROR(E16/E$8,0)</f>
        <v/>
      </c>
    </row>
    <row r="17">
      <c r="A17" t="inlineStr">
        <is>
          <t>Research and development</t>
        </is>
      </c>
      <c r="B17" s="16">
        <f>Assumptions!C17</f>
        <v/>
      </c>
      <c r="C17" s="16">
        <f>C8*Assumptions!C51</f>
        <v/>
      </c>
      <c r="D17" s="16">
        <f>D8*Assumptions!D51</f>
        <v/>
      </c>
      <c r="E17" s="16">
        <f>E8*Assumptions!E51</f>
        <v/>
      </c>
      <c r="H17" s="14">
        <f>IFERROR(B17/B$8,0)</f>
        <v/>
      </c>
      <c r="I17" s="14">
        <f>IFERROR(C17/C$8,0)</f>
        <v/>
      </c>
      <c r="J17" s="14">
        <f>IFERROR(D17/D$8,0)</f>
        <v/>
      </c>
      <c r="K17" s="14">
        <f>IFERROR(E17/E$8,0)</f>
        <v/>
      </c>
    </row>
    <row r="18">
      <c r="A18" t="inlineStr">
        <is>
          <t>General and administrative</t>
        </is>
      </c>
      <c r="B18" s="16">
        <f>Assumptions!C18</f>
        <v/>
      </c>
      <c r="C18" s="16">
        <f>C8*Assumptions!C52</f>
        <v/>
      </c>
      <c r="D18" s="16">
        <f>D8*Assumptions!D52</f>
        <v/>
      </c>
      <c r="E18" s="16">
        <f>E8*Assumptions!E52</f>
        <v/>
      </c>
      <c r="H18" s="14">
        <f>IFERROR(B18/B$8,0)</f>
        <v/>
      </c>
      <c r="I18" s="14">
        <f>IFERROR(C18/C$8,0)</f>
        <v/>
      </c>
      <c r="J18" s="14">
        <f>IFERROR(D18/D$8,0)</f>
        <v/>
      </c>
      <c r="K18" s="14">
        <f>IFERROR(E18/E$8,0)</f>
        <v/>
      </c>
    </row>
    <row r="19">
      <c r="A19" s="17" t="inlineStr">
        <is>
          <t>Total operating expenses</t>
        </is>
      </c>
      <c r="B19" s="18">
        <f>B16+B17+B18</f>
        <v/>
      </c>
      <c r="C19" s="18">
        <f>C16+C17+C18</f>
        <v/>
      </c>
      <c r="D19" s="18">
        <f>D16+D17+D18</f>
        <v/>
      </c>
      <c r="E19" s="18">
        <f>E16+E17+E18</f>
        <v/>
      </c>
      <c r="H19" s="14">
        <f>IFERROR(B19/B$8,0)</f>
        <v/>
      </c>
      <c r="I19" s="14">
        <f>IFERROR(C19/C$8,0)</f>
        <v/>
      </c>
      <c r="J19" s="14">
        <f>IFERROR(D19/D$8,0)</f>
        <v/>
      </c>
      <c r="K19" s="14">
        <f>IFERROR(E19/E$8,0)</f>
        <v/>
      </c>
    </row>
    <row r="20">
      <c r="A20" s="17" t="inlineStr">
        <is>
          <t>EBITDA</t>
        </is>
      </c>
      <c r="B20" s="18">
        <f>B13-B19</f>
        <v/>
      </c>
      <c r="C20" s="18">
        <f>C13-C19</f>
        <v/>
      </c>
      <c r="D20" s="18">
        <f>D13-D19</f>
        <v/>
      </c>
      <c r="E20" s="18">
        <f>E13-E19</f>
        <v/>
      </c>
      <c r="H20" s="14">
        <f>IFERROR(B20/B$8,0)</f>
        <v/>
      </c>
      <c r="I20" s="14">
        <f>IFERROR(C20/C$8,0)</f>
        <v/>
      </c>
      <c r="J20" s="14">
        <f>IFERROR(D20/D$8,0)</f>
        <v/>
      </c>
      <c r="K20" s="14">
        <f>IFERROR(E20/E$8,0)</f>
        <v/>
      </c>
    </row>
    <row r="21">
      <c r="A21" t="inlineStr">
        <is>
          <t>EBITDA margin</t>
        </is>
      </c>
      <c r="B21" s="14">
        <f>IFERROR(B20/B8,0)</f>
        <v/>
      </c>
      <c r="C21" s="14">
        <f>IFERROR(C20/C8,0)</f>
        <v/>
      </c>
      <c r="D21" s="14">
        <f>IFERROR(D20/D8,0)</f>
        <v/>
      </c>
      <c r="E21" s="14">
        <f>IFERROR(E20/E8,0)</f>
        <v/>
      </c>
    </row>
    <row r="22">
      <c r="A22" t="inlineStr">
        <is>
          <t>Depreciation and amortization</t>
        </is>
      </c>
      <c r="B22" s="16">
        <f>Assumptions!C19</f>
        <v/>
      </c>
      <c r="C22" s="16">
        <f>N(Assumptions!C53)</f>
        <v/>
      </c>
      <c r="D22" s="16">
        <f>N(Assumptions!D53)</f>
        <v/>
      </c>
      <c r="E22" s="16">
        <f>N(Assumptions!E53)</f>
        <v/>
      </c>
      <c r="H22" s="14">
        <f>IFERROR(B22/B$8,0)</f>
        <v/>
      </c>
      <c r="I22" s="14">
        <f>IFERROR(C22/C$8,0)</f>
        <v/>
      </c>
      <c r="J22" s="14">
        <f>IFERROR(D22/D$8,0)</f>
        <v/>
      </c>
      <c r="K22" s="14">
        <f>IFERROR(E22/E$8,0)</f>
        <v/>
      </c>
    </row>
    <row r="23">
      <c r="A23" s="17" t="inlineStr">
        <is>
          <t>Operating income (EBIT)</t>
        </is>
      </c>
      <c r="B23" s="18">
        <f>B20-B22</f>
        <v/>
      </c>
      <c r="C23" s="18">
        <f>C20-C22</f>
        <v/>
      </c>
      <c r="D23" s="18">
        <f>D20-D22</f>
        <v/>
      </c>
      <c r="E23" s="18">
        <f>E20-E22</f>
        <v/>
      </c>
      <c r="H23" s="14">
        <f>IFERROR(B23/B$8,0)</f>
        <v/>
      </c>
      <c r="I23" s="14">
        <f>IFERROR(C23/C$8,0)</f>
        <v/>
      </c>
      <c r="J23" s="14">
        <f>IFERROR(D23/D$8,0)</f>
        <v/>
      </c>
      <c r="K23" s="14">
        <f>IFERROR(E23/E$8,0)</f>
        <v/>
      </c>
    </row>
    <row r="24">
      <c r="A24" t="inlineStr">
        <is>
          <t>Operating margin</t>
        </is>
      </c>
      <c r="B24" s="14">
        <f>IFERROR(B23/B8,0)</f>
        <v/>
      </c>
      <c r="C24" s="14">
        <f>IFERROR(C23/C8,0)</f>
        <v/>
      </c>
      <c r="D24" s="14">
        <f>IFERROR(D23/D8,0)</f>
        <v/>
      </c>
      <c r="E24" s="14">
        <f>IFERROR(E23/E8,0)</f>
        <v/>
      </c>
    </row>
    <row r="25">
      <c r="A25" t="inlineStr">
        <is>
          <t>Interest income</t>
        </is>
      </c>
      <c r="B25" s="16">
        <f>Assumptions!C22</f>
        <v/>
      </c>
      <c r="C25" s="16">
        <f>N(Assumptions!C56)</f>
        <v/>
      </c>
      <c r="D25" s="16">
        <f>N(Assumptions!D56)</f>
        <v/>
      </c>
      <c r="E25" s="16">
        <f>N(Assumptions!E56)</f>
        <v/>
      </c>
      <c r="H25" s="14">
        <f>IFERROR(B25/B$8,0)</f>
        <v/>
      </c>
      <c r="I25" s="14">
        <f>IFERROR(C25/C$8,0)</f>
        <v/>
      </c>
      <c r="J25" s="14">
        <f>IFERROR(D25/D$8,0)</f>
        <v/>
      </c>
      <c r="K25" s="14">
        <f>IFERROR(E25/E$8,0)</f>
        <v/>
      </c>
    </row>
    <row r="26">
      <c r="A26" t="inlineStr">
        <is>
          <t>Interest expense</t>
        </is>
      </c>
      <c r="B26" s="16">
        <f>Assumptions!C23</f>
        <v/>
      </c>
      <c r="C26" s="16">
        <f>N(Assumptions!C57)</f>
        <v/>
      </c>
      <c r="D26" s="16">
        <f>N(Assumptions!D57)</f>
        <v/>
      </c>
      <c r="E26" s="16">
        <f>N(Assumptions!E57)</f>
        <v/>
      </c>
      <c r="H26" s="14">
        <f>IFERROR(B26/B$8,0)</f>
        <v/>
      </c>
      <c r="I26" s="14">
        <f>IFERROR(C26/C$8,0)</f>
        <v/>
      </c>
      <c r="J26" s="14">
        <f>IFERROR(D26/D$8,0)</f>
        <v/>
      </c>
      <c r="K26" s="14">
        <f>IFERROR(E26/E$8,0)</f>
        <v/>
      </c>
    </row>
    <row r="27">
      <c r="A27" s="17" t="inlineStr">
        <is>
          <t>Income before taxes</t>
        </is>
      </c>
      <c r="B27" s="18">
        <f>B23+B25-B26</f>
        <v/>
      </c>
      <c r="C27" s="18">
        <f>C23+C25-C26</f>
        <v/>
      </c>
      <c r="D27" s="18">
        <f>D23+D25-D26</f>
        <v/>
      </c>
      <c r="E27" s="18">
        <f>E23+E25-E26</f>
        <v/>
      </c>
      <c r="H27" s="14">
        <f>IFERROR(B27/B$8,0)</f>
        <v/>
      </c>
      <c r="I27" s="14">
        <f>IFERROR(C27/C$8,0)</f>
        <v/>
      </c>
      <c r="J27" s="14">
        <f>IFERROR(D27/D$8,0)</f>
        <v/>
      </c>
      <c r="K27" s="14">
        <f>IFERROR(E27/E$8,0)</f>
        <v/>
      </c>
    </row>
    <row r="28">
      <c r="A28" t="inlineStr">
        <is>
          <t>Income tax expense</t>
        </is>
      </c>
      <c r="B28" s="16">
        <f>Assumptions!C24</f>
        <v/>
      </c>
      <c r="C28" s="16">
        <f>MAX(0,C27)*Assumptions!C58</f>
        <v/>
      </c>
      <c r="D28" s="16">
        <f>MAX(0,D27)*Assumptions!D58</f>
        <v/>
      </c>
      <c r="E28" s="16">
        <f>MAX(0,E27)*Assumptions!E58</f>
        <v/>
      </c>
      <c r="H28" s="14">
        <f>IFERROR(B28/B$8,0)</f>
        <v/>
      </c>
      <c r="I28" s="14">
        <f>IFERROR(C28/C$8,0)</f>
        <v/>
      </c>
      <c r="J28" s="14">
        <f>IFERROR(D28/D$8,0)</f>
        <v/>
      </c>
      <c r="K28" s="14">
        <f>IFERROR(E28/E$8,0)</f>
        <v/>
      </c>
    </row>
    <row r="29">
      <c r="A29" s="17" t="inlineStr">
        <is>
          <t>Net income</t>
        </is>
      </c>
      <c r="B29" s="18">
        <f>B27-B28</f>
        <v/>
      </c>
      <c r="C29" s="18">
        <f>C27-C28</f>
        <v/>
      </c>
      <c r="D29" s="18">
        <f>D27-D28</f>
        <v/>
      </c>
      <c r="E29" s="18">
        <f>E27-E28</f>
        <v/>
      </c>
      <c r="H29" s="14">
        <f>IFERROR(B29/B$8,0)</f>
        <v/>
      </c>
      <c r="I29" s="14">
        <f>IFERROR(C29/C$8,0)</f>
        <v/>
      </c>
      <c r="J29" s="14">
        <f>IFERROR(D29/D$8,0)</f>
        <v/>
      </c>
      <c r="K29" s="14">
        <f>IFERROR(E29/E$8,0)</f>
        <v/>
      </c>
    </row>
    <row r="30">
      <c r="A30" t="inlineStr">
        <is>
          <t>Net margin</t>
        </is>
      </c>
      <c r="B30" s="14">
        <f>IFERROR(B29/B8,0)</f>
        <v/>
      </c>
      <c r="C30" s="14">
        <f>IFERROR(C29/C8,0)</f>
        <v/>
      </c>
      <c r="D30" s="14">
        <f>IFERROR(D29/D8,0)</f>
        <v/>
      </c>
      <c r="E30" s="14">
        <f>IFERROR(E29/E8,0)</f>
        <v/>
      </c>
    </row>
    <row r="31">
      <c r="A31" s="9" t="inlineStr">
        <is>
          <t>NON-GAAP RECONCILIATION (how adjusted numbers tie back to the statement above)</t>
        </is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</row>
    <row r="32">
      <c r="A32" t="inlineStr">
        <is>
          <t>Operating income (from the statement above)</t>
        </is>
      </c>
      <c r="B32" s="16">
        <f>B23</f>
        <v/>
      </c>
      <c r="C32" s="16">
        <f>C23</f>
        <v/>
      </c>
      <c r="D32" s="16">
        <f>D23</f>
        <v/>
      </c>
      <c r="E32" s="16">
        <f>E23</f>
        <v/>
      </c>
    </row>
    <row r="33">
      <c r="A33" t="inlineStr">
        <is>
          <t>+ Stock-based compensation (already inside the cost lines)</t>
        </is>
      </c>
      <c r="B33" s="16">
        <f>Assumptions!C20</f>
        <v/>
      </c>
      <c r="C33" s="16">
        <f>C8*Assumptions!C54</f>
        <v/>
      </c>
      <c r="D33" s="16">
        <f>D8*Assumptions!D54</f>
        <v/>
      </c>
      <c r="E33" s="16">
        <f>E8*Assumptions!E54</f>
        <v/>
      </c>
    </row>
    <row r="34">
      <c r="A34" t="inlineStr">
        <is>
          <t>+ Amortization of acquired intangibles (already inside D&amp;A)</t>
        </is>
      </c>
      <c r="B34" s="16">
        <f>Assumptions!C21</f>
        <v/>
      </c>
      <c r="C34" s="16">
        <f>N(Assumptions!C55)</f>
        <v/>
      </c>
      <c r="D34" s="16">
        <f>N(Assumptions!D55)</f>
        <v/>
      </c>
      <c r="E34" s="16">
        <f>N(Assumptions!E55)</f>
        <v/>
      </c>
    </row>
    <row r="35">
      <c r="A35" s="17" t="inlineStr">
        <is>
          <t>Non-GAAP operating income</t>
        </is>
      </c>
      <c r="B35" s="18">
        <f>B32+B33+B34</f>
        <v/>
      </c>
      <c r="C35" s="18">
        <f>C32+C33+C34</f>
        <v/>
      </c>
      <c r="D35" s="18">
        <f>D32+D33+D34</f>
        <v/>
      </c>
      <c r="E35" s="18">
        <f>E32+E33+E34</f>
        <v/>
      </c>
    </row>
    <row r="36">
      <c r="A36" t="inlineStr">
        <is>
          <t>EBITDA (from the statement above)</t>
        </is>
      </c>
      <c r="B36" s="16">
        <f>B20</f>
        <v/>
      </c>
      <c r="C36" s="16">
        <f>C20</f>
        <v/>
      </c>
      <c r="D36" s="16">
        <f>D20</f>
        <v/>
      </c>
      <c r="E36" s="16">
        <f>E20</f>
        <v/>
      </c>
    </row>
    <row r="37">
      <c r="A37" s="17" t="inlineStr">
        <is>
          <t>Adjusted EBITDA (EBITDA + stock-based compensation)</t>
        </is>
      </c>
      <c r="B37" s="18">
        <f>B36+B33</f>
        <v/>
      </c>
      <c r="C37" s="18">
        <f>C36+C33</f>
        <v/>
      </c>
      <c r="D37" s="18">
        <f>D36+D33</f>
        <v/>
      </c>
      <c r="E37" s="18">
        <f>E36+E33</f>
        <v/>
      </c>
    </row>
    <row r="38">
      <c r="A38" t="inlineStr">
        <is>
          <t>Adjusted EBITDA margin</t>
        </is>
      </c>
      <c r="B38" s="14">
        <f>IFERROR(B37/B8,0)</f>
        <v/>
      </c>
      <c r="C38" s="14">
        <f>IFERROR(C37/C8,0)</f>
        <v/>
      </c>
      <c r="D38" s="14">
        <f>IFERROR(D37/D8,0)</f>
        <v/>
      </c>
      <c r="E38" s="14">
        <f>IFERROR(E37/E8,0)</f>
        <v/>
      </c>
    </row>
    <row r="39">
      <c r="A39" s="9" t="inlineStr">
        <is>
          <t>REVENUE DRIVERS AND SAAS METRICS</t>
        </is>
      </c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</row>
    <row r="40">
      <c r="A40" t="inlineStr">
        <is>
          <t>Beginning ARR</t>
        </is>
      </c>
      <c r="C40" s="16">
        <f>'ARR bridge'!B33</f>
        <v/>
      </c>
      <c r="D40" s="16">
        <f>'ARR bridge'!F33</f>
        <v/>
      </c>
      <c r="E40" s="16">
        <f>'ARR bridge'!J33</f>
        <v/>
      </c>
    </row>
    <row r="41">
      <c r="A41" t="inlineStr">
        <is>
          <t>+ New-logo ARR</t>
        </is>
      </c>
      <c r="C41" s="16">
        <f>SUMIF('ARR bridge'!$B$5:$M$5,1,'ARR bridge'!$B$34:$M$34)</f>
        <v/>
      </c>
      <c r="D41" s="16">
        <f>SUMIF('ARR bridge'!$B$5:$M$5,2,'ARR bridge'!$B$34:$M$34)</f>
        <v/>
      </c>
      <c r="E41" s="16">
        <f>SUMIF('ARR bridge'!$B$5:$M$5,3,'ARR bridge'!$B$34:$M$34)</f>
        <v/>
      </c>
    </row>
    <row r="42">
      <c r="A42" t="inlineStr">
        <is>
          <t>+ Expansion ARR</t>
        </is>
      </c>
      <c r="C42" s="16">
        <f>SUMIF('ARR bridge'!$B$5:$M$5,1,'ARR bridge'!$B$35:$M$35)</f>
        <v/>
      </c>
      <c r="D42" s="16">
        <f>SUMIF('ARR bridge'!$B$5:$M$5,2,'ARR bridge'!$B$35:$M$35)</f>
        <v/>
      </c>
      <c r="E42" s="16">
        <f>SUMIF('ARR bridge'!$B$5:$M$5,3,'ARR bridge'!$B$35:$M$35)</f>
        <v/>
      </c>
    </row>
    <row r="43">
      <c r="A43" t="inlineStr">
        <is>
          <t>- Churn and contraction ARR</t>
        </is>
      </c>
      <c r="C43" s="16">
        <f>SUMIF('ARR bridge'!$B$5:$M$5,1,'ARR bridge'!$B$36:$M$36)</f>
        <v/>
      </c>
      <c r="D43" s="16">
        <f>SUMIF('ARR bridge'!$B$5:$M$5,2,'ARR bridge'!$B$36:$M$36)</f>
        <v/>
      </c>
      <c r="E43" s="16">
        <f>SUMIF('ARR bridge'!$B$5:$M$5,3,'ARR bridge'!$B$36:$M$36)</f>
        <v/>
      </c>
    </row>
    <row r="44">
      <c r="A44" s="17" t="inlineStr">
        <is>
          <t>Ending ARR</t>
        </is>
      </c>
      <c r="B44" s="18">
        <f>N(Assumptions!C8)</f>
        <v/>
      </c>
      <c r="C44" s="18">
        <f>'ARR bridge'!E37</f>
        <v/>
      </c>
      <c r="D44" s="18">
        <f>'ARR bridge'!I37</f>
        <v/>
      </c>
      <c r="E44" s="18">
        <f>'ARR bridge'!M37</f>
        <v/>
      </c>
    </row>
    <row r="45">
      <c r="A45" t="inlineStr">
        <is>
          <t>ARR growth</t>
        </is>
      </c>
      <c r="C45" s="14">
        <f>IFERROR(C44/B44-1,0)</f>
        <v/>
      </c>
      <c r="D45" s="14">
        <f>IFERROR(D44/C44-1,0)</f>
        <v/>
      </c>
      <c r="E45" s="14">
        <f>IFERROR(E44/D44-1,0)</f>
        <v/>
      </c>
    </row>
    <row r="46">
      <c r="A46" t="inlineStr">
        <is>
          <t>Revenue growth</t>
        </is>
      </c>
      <c r="B46" s="14">
        <f>IFERROR(B8/Assumptions!C25-1,0)</f>
        <v/>
      </c>
      <c r="C46" s="14">
        <f>IFERROR(C8/B8-1,0)</f>
        <v/>
      </c>
      <c r="D46" s="14">
        <f>IFERROR(D8/C8-1,0)</f>
        <v/>
      </c>
      <c r="E46" s="14">
        <f>IFERROR(E8/D8-1,0)</f>
        <v/>
      </c>
    </row>
    <row r="47">
      <c r="A47" t="inlineStr">
        <is>
          <t>Net revenue retention (beginning ARR + expansion - churn) / beginning ARR</t>
        </is>
      </c>
      <c r="C47" s="14">
        <f>IFERROR((C40+C42-C43)/C40,0)</f>
        <v/>
      </c>
      <c r="D47" s="14">
        <f>IFERROR((D40+D42-D43)/D40,0)</f>
        <v/>
      </c>
      <c r="E47" s="14">
        <f>IFERROR((E40+E42-E43)/E40,0)</f>
        <v/>
      </c>
    </row>
    <row r="48">
      <c r="A48" t="inlineStr">
        <is>
          <t>Gross revenue retention (beginning ARR - churn) / beginning ARR</t>
        </is>
      </c>
      <c r="C48" s="14">
        <f>IFERROR((C40-C43)/C40,0)</f>
        <v/>
      </c>
      <c r="D48" s="14">
        <f>IFERROR((D40-D43)/D40,0)</f>
        <v/>
      </c>
      <c r="E48" s="14">
        <f>IFERROR((E40-E43)/E40,0)</f>
        <v/>
      </c>
    </row>
    <row r="49">
      <c r="A49" t="inlineStr">
        <is>
          <t>Rule of 40 (revenue growth + EBITDA margin)</t>
        </is>
      </c>
      <c r="B49" s="14">
        <f>B46+B21</f>
        <v/>
      </c>
      <c r="C49" s="14">
        <f>C46+C21</f>
        <v/>
      </c>
      <c r="D49" s="14">
        <f>D46+D21</f>
        <v/>
      </c>
      <c r="E49" s="14">
        <f>E46+E21</f>
        <v/>
      </c>
    </row>
    <row r="50">
      <c r="A50" s="9" t="inlineStr">
        <is>
          <t>CHECKS</t>
        </is>
      </c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</row>
    <row r="51">
      <c r="A51" t="inlineStr">
        <is>
          <t>ARR bridge ties (beginning + new + expansion - churn = ending)</t>
        </is>
      </c>
      <c r="C51" s="19">
        <f>IF(ABS(C40+C41+C42-C43-C44)&lt;1,"OK","Check")</f>
        <v/>
      </c>
      <c r="D51" s="19">
        <f>IF(ABS(D40+D41+D42-D43-D44)&lt;1,"OK","Check")</f>
        <v/>
      </c>
      <c r="E51" s="19">
        <f>IF(ABS(E40+E41+E42-E43-E44)&lt;1,"OK","Check")</f>
        <v/>
      </c>
    </row>
    <row r="52">
      <c r="A52" t="inlineStr">
        <is>
          <t>Subscription revenue ties to the ARR bridge</t>
        </is>
      </c>
      <c r="C52" s="19">
        <f>IF(ABS(C6-(C40*0+SUMIF('ARR bridge'!$B$5:$M$5,1,'ARR bridge'!$B$38:$M$38)))&lt;1,"OK","Check")</f>
        <v/>
      </c>
      <c r="D52" s="19">
        <f>IF(ABS(D6-(D40*0+SUMIF('ARR bridge'!$B$5:$M$5,2,'ARR bridge'!$B$38:$M$38)))&lt;1,"OK","Check")</f>
        <v/>
      </c>
      <c r="E52" s="19">
        <f>IF(ABS(E6-(E40*0+SUMIF('ARR bridge'!$B$5:$M$5,3,'ARR bridge'!$B$38:$M$38)))&lt;1,"OK","Check")</f>
        <v/>
      </c>
    </row>
    <row r="53">
      <c r="A53" t="inlineStr">
        <is>
          <t>Quarter weights add to 100%</t>
        </is>
      </c>
      <c r="B53" s="19">
        <f>IF(ABS(Assumptions!C30-1)&lt;0.0001,"OK","Check")</f>
        <v/>
      </c>
    </row>
    <row r="54">
      <c r="A54" t="inlineStr">
        <is>
          <t>Scenario order (Low &lt;= Base &lt;= High ending ARR)</t>
        </is>
      </c>
      <c r="C54" s="19">
        <f>IF(AND('ARR bridge'!E13&lt;='ARR bridge'!E21+0.5,'ARR bridge'!E21&lt;='ARR bridge'!E29+0.5),"OK","Check")</f>
        <v/>
      </c>
      <c r="D54" s="19">
        <f>IF(AND('ARR bridge'!I13&lt;='ARR bridge'!I21+0.5,'ARR bridge'!I21&lt;='ARR bridge'!I29+0.5),"OK","Check")</f>
        <v/>
      </c>
      <c r="E54" s="19">
        <f>IF(AND('ARR bridge'!M13&lt;='ARR bridge'!M21+0.5,'ARR bridge'!M21&lt;='ARR bridge'!M29+0.5),"OK","Check")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6" customWidth="1" min="3" max="3"/>
    <col width="16" customWidth="1" min="4" max="4"/>
    <col width="16" customWidth="1" min="5" max="5"/>
  </cols>
  <sheetData>
    <row r="1">
      <c r="A1" s="4" t="inlineStr">
        <is>
          <t>Scenario comparison: Low, Base and High side by side</t>
        </is>
      </c>
    </row>
    <row r="2">
      <c r="A2" s="3" t="inlineStr">
        <is>
          <t>Same cost drivers in every scenario; only new-logo ARR, expansion and churn change. Sales and marketing is sized to the bookings each scenario needs.</t>
        </is>
      </c>
    </row>
    <row r="4">
      <c r="A4" s="11" t="inlineStr">
        <is>
          <t>Line</t>
        </is>
      </c>
      <c r="B4" s="12" t="inlineStr">
        <is>
          <t>Scenario</t>
        </is>
      </c>
      <c r="C4" s="12">
        <f>"FY"&amp;(Assumptions!C5+1)</f>
        <v/>
      </c>
      <c r="D4" s="12">
        <f>"FY"&amp;(Assumptions!C5+2)</f>
        <v/>
      </c>
      <c r="E4" s="12">
        <f>"FY"&amp;(Assumptions!C5+3)</f>
        <v/>
      </c>
    </row>
    <row r="5">
      <c r="A5" s="9" t="inlineStr">
        <is>
          <t>Low scenario</t>
        </is>
      </c>
      <c r="B5" s="10" t="n"/>
      <c r="C5" s="10" t="n"/>
      <c r="D5" s="10" t="n"/>
      <c r="E5" s="10" t="n"/>
    </row>
    <row r="6">
      <c r="A6" t="inlineStr">
        <is>
          <t>Ending ARR</t>
        </is>
      </c>
      <c r="B6" t="inlineStr">
        <is>
          <t>Low</t>
        </is>
      </c>
      <c r="C6" s="16">
        <f>'ARR bridge'!E13</f>
        <v/>
      </c>
      <c r="D6" s="16">
        <f>'ARR bridge'!I13</f>
        <v/>
      </c>
      <c r="E6" s="16">
        <f>'ARR bridge'!M13</f>
        <v/>
      </c>
    </row>
    <row r="7">
      <c r="A7" t="inlineStr">
        <is>
          <t>Total revenue</t>
        </is>
      </c>
      <c r="B7" t="inlineStr">
        <is>
          <t>Low</t>
        </is>
      </c>
      <c r="C7" s="16">
        <f>(SUMIF('ARR bridge'!$B$5:$M$5,1,'ARR bridge'!$B$14:$M$14)+SUMIF('ARR bridge'!$B$5:$M$5,1,'ARR bridge'!$B$10:$M$10)*Assumptions!C46)</f>
        <v/>
      </c>
      <c r="D7" s="16">
        <f>(SUMIF('ARR bridge'!$B$5:$M$5,2,'ARR bridge'!$B$14:$M$14)+SUMIF('ARR bridge'!$B$5:$M$5,2,'ARR bridge'!$B$10:$M$10)*Assumptions!D46)</f>
        <v/>
      </c>
      <c r="E7" s="16">
        <f>(SUMIF('ARR bridge'!$B$5:$M$5,3,'ARR bridge'!$B$14:$M$14)+SUMIF('ARR bridge'!$B$5:$M$5,3,'ARR bridge'!$B$10:$M$10)*Assumptions!E46)</f>
        <v/>
      </c>
    </row>
    <row r="8">
      <c r="A8" t="inlineStr">
        <is>
          <t>Sales and marketing</t>
        </is>
      </c>
      <c r="B8" t="inlineStr">
        <is>
          <t>Low</t>
        </is>
      </c>
      <c r="C8" s="16">
        <f>SUMIF('ARR bridge'!$B$5:$M$5,1,'ARR bridge'!$B$10:$M$10)*Assumptions!C49+SUMIF('ARR bridge'!$B$5:$M$5,1,'ARR bridge'!$B$11:$M$11)*Assumptions!C50</f>
        <v/>
      </c>
      <c r="D8" s="16">
        <f>SUMIF('ARR bridge'!$B$5:$M$5,2,'ARR bridge'!$B$10:$M$10)*Assumptions!D49+SUMIF('ARR bridge'!$B$5:$M$5,2,'ARR bridge'!$B$11:$M$11)*Assumptions!D50</f>
        <v/>
      </c>
      <c r="E8" s="16">
        <f>SUMIF('ARR bridge'!$B$5:$M$5,3,'ARR bridge'!$B$10:$M$10)*Assumptions!E49+SUMIF('ARR bridge'!$B$5:$M$5,3,'ARR bridge'!$B$11:$M$11)*Assumptions!E50</f>
        <v/>
      </c>
    </row>
    <row r="9">
      <c r="A9" t="inlineStr">
        <is>
          <t>EBITDA</t>
        </is>
      </c>
      <c r="B9" t="inlineStr">
        <is>
          <t>Low</t>
        </is>
      </c>
      <c r="C9" s="16">
        <f>((SUMIF('ARR bridge'!$B$5:$M$5,1,'ARR bridge'!$B$14:$M$14)+SUMIF('ARR bridge'!$B$5:$M$5,1,'ARR bridge'!$B$10:$M$10)*Assumptions!C46)-SUMIF('ARR bridge'!$B$5:$M$5,1,'ARR bridge'!$B$14:$M$14)*Assumptions!C47-SUMIF('ARR bridge'!$B$5:$M$5,1,'ARR bridge'!$B$10:$M$10)*Assumptions!C46*Assumptions!C48-(SUMIF('ARR bridge'!$B$5:$M$5,1,'ARR bridge'!$B$10:$M$10)*Assumptions!C49+SUMIF('ARR bridge'!$B$5:$M$5,1,'ARR bridge'!$B$11:$M$11)*Assumptions!C50)-(SUMIF('ARR bridge'!$B$5:$M$5,1,'ARR bridge'!$B$14:$M$14)+SUMIF('ARR bridge'!$B$5:$M$5,1,'ARR bridge'!$B$10:$M$10)*Assumptions!C46)*(Assumptions!C51+Assumptions!C52))</f>
        <v/>
      </c>
      <c r="D9" s="16">
        <f>((SUMIF('ARR bridge'!$B$5:$M$5,2,'ARR bridge'!$B$14:$M$14)+SUMIF('ARR bridge'!$B$5:$M$5,2,'ARR bridge'!$B$10:$M$10)*Assumptions!D46)-SUMIF('ARR bridge'!$B$5:$M$5,2,'ARR bridge'!$B$14:$M$14)*Assumptions!D47-SUMIF('ARR bridge'!$B$5:$M$5,2,'ARR bridge'!$B$10:$M$10)*Assumptions!D46*Assumptions!D48-(SUMIF('ARR bridge'!$B$5:$M$5,2,'ARR bridge'!$B$10:$M$10)*Assumptions!D49+SUMIF('ARR bridge'!$B$5:$M$5,2,'ARR bridge'!$B$11:$M$11)*Assumptions!D50)-(SUMIF('ARR bridge'!$B$5:$M$5,2,'ARR bridge'!$B$14:$M$14)+SUMIF('ARR bridge'!$B$5:$M$5,2,'ARR bridge'!$B$10:$M$10)*Assumptions!D46)*(Assumptions!D51+Assumptions!D52))</f>
        <v/>
      </c>
      <c r="E9" s="16">
        <f>((SUMIF('ARR bridge'!$B$5:$M$5,3,'ARR bridge'!$B$14:$M$14)+SUMIF('ARR bridge'!$B$5:$M$5,3,'ARR bridge'!$B$10:$M$10)*Assumptions!E46)-SUMIF('ARR bridge'!$B$5:$M$5,3,'ARR bridge'!$B$14:$M$14)*Assumptions!E47-SUMIF('ARR bridge'!$B$5:$M$5,3,'ARR bridge'!$B$10:$M$10)*Assumptions!E46*Assumptions!E48-(SUMIF('ARR bridge'!$B$5:$M$5,3,'ARR bridge'!$B$10:$M$10)*Assumptions!E49+SUMIF('ARR bridge'!$B$5:$M$5,3,'ARR bridge'!$B$11:$M$11)*Assumptions!E50)-(SUMIF('ARR bridge'!$B$5:$M$5,3,'ARR bridge'!$B$14:$M$14)+SUMIF('ARR bridge'!$B$5:$M$5,3,'ARR bridge'!$B$10:$M$10)*Assumptions!E46)*(Assumptions!E51+Assumptions!E52))</f>
        <v/>
      </c>
    </row>
    <row r="10">
      <c r="A10" t="inlineStr">
        <is>
          <t>Net income</t>
        </is>
      </c>
      <c r="B10" t="inlineStr">
        <is>
          <t>Low</t>
        </is>
      </c>
      <c r="C10" s="16">
        <f>(C9-N(Assumptions!C53)+N(Assumptions!C56)-N(Assumptions!C57))-MAX(0,(C9-N(Assumptions!C53)+N(Assumptions!C56)-N(Assumptions!C57)))*Assumptions!C58</f>
        <v/>
      </c>
      <c r="D10" s="16">
        <f>(D9-N(Assumptions!D53)+N(Assumptions!D56)-N(Assumptions!D57))-MAX(0,(D9-N(Assumptions!D53)+N(Assumptions!D56)-N(Assumptions!D57)))*Assumptions!D58</f>
        <v/>
      </c>
      <c r="E10" s="16">
        <f>(E9-N(Assumptions!E53)+N(Assumptions!E56)-N(Assumptions!E57))-MAX(0,(E9-N(Assumptions!E53)+N(Assumptions!E56)-N(Assumptions!E57)))*Assumptions!E58</f>
        <v/>
      </c>
    </row>
    <row r="11">
      <c r="A11" t="inlineStr">
        <is>
          <t>Net revenue retention</t>
        </is>
      </c>
      <c r="B11" t="inlineStr">
        <is>
          <t>Low</t>
        </is>
      </c>
      <c r="C11" s="14">
        <f>IFERROR(('ARR bridge'!B9+SUMIF('ARR bridge'!$B$5:$M$5,1,'ARR bridge'!$B$11:$M$11)-SUMIF('ARR bridge'!$B$5:$M$5,1,'ARR bridge'!$B$12:$M$12))/'ARR bridge'!B9,0)</f>
        <v/>
      </c>
      <c r="D11" s="14">
        <f>IFERROR(('ARR bridge'!F9+SUMIF('ARR bridge'!$B$5:$M$5,2,'ARR bridge'!$B$11:$M$11)-SUMIF('ARR bridge'!$B$5:$M$5,2,'ARR bridge'!$B$12:$M$12))/'ARR bridge'!F9,0)</f>
        <v/>
      </c>
      <c r="E11" s="14">
        <f>IFERROR(('ARR bridge'!J9+SUMIF('ARR bridge'!$B$5:$M$5,3,'ARR bridge'!$B$11:$M$11)-SUMIF('ARR bridge'!$B$5:$M$5,3,'ARR bridge'!$B$12:$M$12))/'ARR bridge'!J9,0)</f>
        <v/>
      </c>
    </row>
    <row r="13">
      <c r="A13" s="9" t="inlineStr">
        <is>
          <t>Base scenario</t>
        </is>
      </c>
      <c r="B13" s="10" t="n"/>
      <c r="C13" s="10" t="n"/>
      <c r="D13" s="10" t="n"/>
      <c r="E13" s="10" t="n"/>
    </row>
    <row r="14">
      <c r="A14" t="inlineStr">
        <is>
          <t>Ending ARR</t>
        </is>
      </c>
      <c r="B14" t="inlineStr">
        <is>
          <t>Base</t>
        </is>
      </c>
      <c r="C14" s="16">
        <f>'ARR bridge'!E21</f>
        <v/>
      </c>
      <c r="D14" s="16">
        <f>'ARR bridge'!I21</f>
        <v/>
      </c>
      <c r="E14" s="16">
        <f>'ARR bridge'!M21</f>
        <v/>
      </c>
    </row>
    <row r="15">
      <c r="A15" t="inlineStr">
        <is>
          <t>Total revenue</t>
        </is>
      </c>
      <c r="B15" t="inlineStr">
        <is>
          <t>Base</t>
        </is>
      </c>
      <c r="C15" s="16">
        <f>(SUMIF('ARR bridge'!$B$5:$M$5,1,'ARR bridge'!$B$22:$M$22)+SUMIF('ARR bridge'!$B$5:$M$5,1,'ARR bridge'!$B$18:$M$18)*Assumptions!C46)</f>
        <v/>
      </c>
      <c r="D15" s="16">
        <f>(SUMIF('ARR bridge'!$B$5:$M$5,2,'ARR bridge'!$B$22:$M$22)+SUMIF('ARR bridge'!$B$5:$M$5,2,'ARR bridge'!$B$18:$M$18)*Assumptions!D46)</f>
        <v/>
      </c>
      <c r="E15" s="16">
        <f>(SUMIF('ARR bridge'!$B$5:$M$5,3,'ARR bridge'!$B$22:$M$22)+SUMIF('ARR bridge'!$B$5:$M$5,3,'ARR bridge'!$B$18:$M$18)*Assumptions!E46)</f>
        <v/>
      </c>
    </row>
    <row r="16">
      <c r="A16" t="inlineStr">
        <is>
          <t>Sales and marketing</t>
        </is>
      </c>
      <c r="B16" t="inlineStr">
        <is>
          <t>Base</t>
        </is>
      </c>
      <c r="C16" s="16">
        <f>SUMIF('ARR bridge'!$B$5:$M$5,1,'ARR bridge'!$B$18:$M$18)*Assumptions!C49+SUMIF('ARR bridge'!$B$5:$M$5,1,'ARR bridge'!$B$19:$M$19)*Assumptions!C50</f>
        <v/>
      </c>
      <c r="D16" s="16">
        <f>SUMIF('ARR bridge'!$B$5:$M$5,2,'ARR bridge'!$B$18:$M$18)*Assumptions!D49+SUMIF('ARR bridge'!$B$5:$M$5,2,'ARR bridge'!$B$19:$M$19)*Assumptions!D50</f>
        <v/>
      </c>
      <c r="E16" s="16">
        <f>SUMIF('ARR bridge'!$B$5:$M$5,3,'ARR bridge'!$B$18:$M$18)*Assumptions!E49+SUMIF('ARR bridge'!$B$5:$M$5,3,'ARR bridge'!$B$19:$M$19)*Assumptions!E50</f>
        <v/>
      </c>
    </row>
    <row r="17">
      <c r="A17" t="inlineStr">
        <is>
          <t>EBITDA</t>
        </is>
      </c>
      <c r="B17" t="inlineStr">
        <is>
          <t>Base</t>
        </is>
      </c>
      <c r="C17" s="16">
        <f>((SUMIF('ARR bridge'!$B$5:$M$5,1,'ARR bridge'!$B$22:$M$22)+SUMIF('ARR bridge'!$B$5:$M$5,1,'ARR bridge'!$B$18:$M$18)*Assumptions!C46)-SUMIF('ARR bridge'!$B$5:$M$5,1,'ARR bridge'!$B$22:$M$22)*Assumptions!C47-SUMIF('ARR bridge'!$B$5:$M$5,1,'ARR bridge'!$B$18:$M$18)*Assumptions!C46*Assumptions!C48-(SUMIF('ARR bridge'!$B$5:$M$5,1,'ARR bridge'!$B$18:$M$18)*Assumptions!C49+SUMIF('ARR bridge'!$B$5:$M$5,1,'ARR bridge'!$B$19:$M$19)*Assumptions!C50)-(SUMIF('ARR bridge'!$B$5:$M$5,1,'ARR bridge'!$B$22:$M$22)+SUMIF('ARR bridge'!$B$5:$M$5,1,'ARR bridge'!$B$18:$M$18)*Assumptions!C46)*(Assumptions!C51+Assumptions!C52))</f>
        <v/>
      </c>
      <c r="D17" s="16">
        <f>((SUMIF('ARR bridge'!$B$5:$M$5,2,'ARR bridge'!$B$22:$M$22)+SUMIF('ARR bridge'!$B$5:$M$5,2,'ARR bridge'!$B$18:$M$18)*Assumptions!D46)-SUMIF('ARR bridge'!$B$5:$M$5,2,'ARR bridge'!$B$22:$M$22)*Assumptions!D47-SUMIF('ARR bridge'!$B$5:$M$5,2,'ARR bridge'!$B$18:$M$18)*Assumptions!D46*Assumptions!D48-(SUMIF('ARR bridge'!$B$5:$M$5,2,'ARR bridge'!$B$18:$M$18)*Assumptions!D49+SUMIF('ARR bridge'!$B$5:$M$5,2,'ARR bridge'!$B$19:$M$19)*Assumptions!D50)-(SUMIF('ARR bridge'!$B$5:$M$5,2,'ARR bridge'!$B$22:$M$22)+SUMIF('ARR bridge'!$B$5:$M$5,2,'ARR bridge'!$B$18:$M$18)*Assumptions!D46)*(Assumptions!D51+Assumptions!D52))</f>
        <v/>
      </c>
      <c r="E17" s="16">
        <f>((SUMIF('ARR bridge'!$B$5:$M$5,3,'ARR bridge'!$B$22:$M$22)+SUMIF('ARR bridge'!$B$5:$M$5,3,'ARR bridge'!$B$18:$M$18)*Assumptions!E46)-SUMIF('ARR bridge'!$B$5:$M$5,3,'ARR bridge'!$B$22:$M$22)*Assumptions!E47-SUMIF('ARR bridge'!$B$5:$M$5,3,'ARR bridge'!$B$18:$M$18)*Assumptions!E46*Assumptions!E48-(SUMIF('ARR bridge'!$B$5:$M$5,3,'ARR bridge'!$B$18:$M$18)*Assumptions!E49+SUMIF('ARR bridge'!$B$5:$M$5,3,'ARR bridge'!$B$19:$M$19)*Assumptions!E50)-(SUMIF('ARR bridge'!$B$5:$M$5,3,'ARR bridge'!$B$22:$M$22)+SUMIF('ARR bridge'!$B$5:$M$5,3,'ARR bridge'!$B$18:$M$18)*Assumptions!E46)*(Assumptions!E51+Assumptions!E52))</f>
        <v/>
      </c>
    </row>
    <row r="18">
      <c r="A18" t="inlineStr">
        <is>
          <t>Net income</t>
        </is>
      </c>
      <c r="B18" t="inlineStr">
        <is>
          <t>Base</t>
        </is>
      </c>
      <c r="C18" s="16">
        <f>(C17-N(Assumptions!C53)+N(Assumptions!C56)-N(Assumptions!C57))-MAX(0,(C17-N(Assumptions!C53)+N(Assumptions!C56)-N(Assumptions!C57)))*Assumptions!C58</f>
        <v/>
      </c>
      <c r="D18" s="16">
        <f>(D17-N(Assumptions!D53)+N(Assumptions!D56)-N(Assumptions!D57))-MAX(0,(D17-N(Assumptions!D53)+N(Assumptions!D56)-N(Assumptions!D57)))*Assumptions!D58</f>
        <v/>
      </c>
      <c r="E18" s="16">
        <f>(E17-N(Assumptions!E53)+N(Assumptions!E56)-N(Assumptions!E57))-MAX(0,(E17-N(Assumptions!E53)+N(Assumptions!E56)-N(Assumptions!E57)))*Assumptions!E58</f>
        <v/>
      </c>
    </row>
    <row r="19">
      <c r="A19" t="inlineStr">
        <is>
          <t>Net revenue retention</t>
        </is>
      </c>
      <c r="B19" t="inlineStr">
        <is>
          <t>Base</t>
        </is>
      </c>
      <c r="C19" s="14">
        <f>IFERROR(('ARR bridge'!B17+SUMIF('ARR bridge'!$B$5:$M$5,1,'ARR bridge'!$B$19:$M$19)-SUMIF('ARR bridge'!$B$5:$M$5,1,'ARR bridge'!$B$20:$M$20))/'ARR bridge'!B17,0)</f>
        <v/>
      </c>
      <c r="D19" s="14">
        <f>IFERROR(('ARR bridge'!F17+SUMIF('ARR bridge'!$B$5:$M$5,2,'ARR bridge'!$B$19:$M$19)-SUMIF('ARR bridge'!$B$5:$M$5,2,'ARR bridge'!$B$20:$M$20))/'ARR bridge'!F17,0)</f>
        <v/>
      </c>
      <c r="E19" s="14">
        <f>IFERROR(('ARR bridge'!J17+SUMIF('ARR bridge'!$B$5:$M$5,3,'ARR bridge'!$B$19:$M$19)-SUMIF('ARR bridge'!$B$5:$M$5,3,'ARR bridge'!$B$20:$M$20))/'ARR bridge'!J17,0)</f>
        <v/>
      </c>
    </row>
    <row r="21">
      <c r="A21" s="9" t="inlineStr">
        <is>
          <t>High scenario</t>
        </is>
      </c>
      <c r="B21" s="10" t="n"/>
      <c r="C21" s="10" t="n"/>
      <c r="D21" s="10" t="n"/>
      <c r="E21" s="10" t="n"/>
    </row>
    <row r="22">
      <c r="A22" t="inlineStr">
        <is>
          <t>Ending ARR</t>
        </is>
      </c>
      <c r="B22" t="inlineStr">
        <is>
          <t>High</t>
        </is>
      </c>
      <c r="C22" s="16">
        <f>'ARR bridge'!E29</f>
        <v/>
      </c>
      <c r="D22" s="16">
        <f>'ARR bridge'!I29</f>
        <v/>
      </c>
      <c r="E22" s="16">
        <f>'ARR bridge'!M29</f>
        <v/>
      </c>
    </row>
    <row r="23">
      <c r="A23" t="inlineStr">
        <is>
          <t>Total revenue</t>
        </is>
      </c>
      <c r="B23" t="inlineStr">
        <is>
          <t>High</t>
        </is>
      </c>
      <c r="C23" s="16">
        <f>(SUMIF('ARR bridge'!$B$5:$M$5,1,'ARR bridge'!$B$30:$M$30)+SUMIF('ARR bridge'!$B$5:$M$5,1,'ARR bridge'!$B$26:$M$26)*Assumptions!C46)</f>
        <v/>
      </c>
      <c r="D23" s="16">
        <f>(SUMIF('ARR bridge'!$B$5:$M$5,2,'ARR bridge'!$B$30:$M$30)+SUMIF('ARR bridge'!$B$5:$M$5,2,'ARR bridge'!$B$26:$M$26)*Assumptions!D46)</f>
        <v/>
      </c>
      <c r="E23" s="16">
        <f>(SUMIF('ARR bridge'!$B$5:$M$5,3,'ARR bridge'!$B$30:$M$30)+SUMIF('ARR bridge'!$B$5:$M$5,3,'ARR bridge'!$B$26:$M$26)*Assumptions!E46)</f>
        <v/>
      </c>
    </row>
    <row r="24">
      <c r="A24" t="inlineStr">
        <is>
          <t>Sales and marketing</t>
        </is>
      </c>
      <c r="B24" t="inlineStr">
        <is>
          <t>High</t>
        </is>
      </c>
      <c r="C24" s="16">
        <f>SUMIF('ARR bridge'!$B$5:$M$5,1,'ARR bridge'!$B$26:$M$26)*Assumptions!C49+SUMIF('ARR bridge'!$B$5:$M$5,1,'ARR bridge'!$B$27:$M$27)*Assumptions!C50</f>
        <v/>
      </c>
      <c r="D24" s="16">
        <f>SUMIF('ARR bridge'!$B$5:$M$5,2,'ARR bridge'!$B$26:$M$26)*Assumptions!D49+SUMIF('ARR bridge'!$B$5:$M$5,2,'ARR bridge'!$B$27:$M$27)*Assumptions!D50</f>
        <v/>
      </c>
      <c r="E24" s="16">
        <f>SUMIF('ARR bridge'!$B$5:$M$5,3,'ARR bridge'!$B$26:$M$26)*Assumptions!E49+SUMIF('ARR bridge'!$B$5:$M$5,3,'ARR bridge'!$B$27:$M$27)*Assumptions!E50</f>
        <v/>
      </c>
    </row>
    <row r="25">
      <c r="A25" t="inlineStr">
        <is>
          <t>EBITDA</t>
        </is>
      </c>
      <c r="B25" t="inlineStr">
        <is>
          <t>High</t>
        </is>
      </c>
      <c r="C25" s="16">
        <f>((SUMIF('ARR bridge'!$B$5:$M$5,1,'ARR bridge'!$B$30:$M$30)+SUMIF('ARR bridge'!$B$5:$M$5,1,'ARR bridge'!$B$26:$M$26)*Assumptions!C46)-SUMIF('ARR bridge'!$B$5:$M$5,1,'ARR bridge'!$B$30:$M$30)*Assumptions!C47-SUMIF('ARR bridge'!$B$5:$M$5,1,'ARR bridge'!$B$26:$M$26)*Assumptions!C46*Assumptions!C48-(SUMIF('ARR bridge'!$B$5:$M$5,1,'ARR bridge'!$B$26:$M$26)*Assumptions!C49+SUMIF('ARR bridge'!$B$5:$M$5,1,'ARR bridge'!$B$27:$M$27)*Assumptions!C50)-(SUMIF('ARR bridge'!$B$5:$M$5,1,'ARR bridge'!$B$30:$M$30)+SUMIF('ARR bridge'!$B$5:$M$5,1,'ARR bridge'!$B$26:$M$26)*Assumptions!C46)*(Assumptions!C51+Assumptions!C52))</f>
        <v/>
      </c>
      <c r="D25" s="16">
        <f>((SUMIF('ARR bridge'!$B$5:$M$5,2,'ARR bridge'!$B$30:$M$30)+SUMIF('ARR bridge'!$B$5:$M$5,2,'ARR bridge'!$B$26:$M$26)*Assumptions!D46)-SUMIF('ARR bridge'!$B$5:$M$5,2,'ARR bridge'!$B$30:$M$30)*Assumptions!D47-SUMIF('ARR bridge'!$B$5:$M$5,2,'ARR bridge'!$B$26:$M$26)*Assumptions!D46*Assumptions!D48-(SUMIF('ARR bridge'!$B$5:$M$5,2,'ARR bridge'!$B$26:$M$26)*Assumptions!D49+SUMIF('ARR bridge'!$B$5:$M$5,2,'ARR bridge'!$B$27:$M$27)*Assumptions!D50)-(SUMIF('ARR bridge'!$B$5:$M$5,2,'ARR bridge'!$B$30:$M$30)+SUMIF('ARR bridge'!$B$5:$M$5,2,'ARR bridge'!$B$26:$M$26)*Assumptions!D46)*(Assumptions!D51+Assumptions!D52))</f>
        <v/>
      </c>
      <c r="E25" s="16">
        <f>((SUMIF('ARR bridge'!$B$5:$M$5,3,'ARR bridge'!$B$30:$M$30)+SUMIF('ARR bridge'!$B$5:$M$5,3,'ARR bridge'!$B$26:$M$26)*Assumptions!E46)-SUMIF('ARR bridge'!$B$5:$M$5,3,'ARR bridge'!$B$30:$M$30)*Assumptions!E47-SUMIF('ARR bridge'!$B$5:$M$5,3,'ARR bridge'!$B$26:$M$26)*Assumptions!E46*Assumptions!E48-(SUMIF('ARR bridge'!$B$5:$M$5,3,'ARR bridge'!$B$26:$M$26)*Assumptions!E49+SUMIF('ARR bridge'!$B$5:$M$5,3,'ARR bridge'!$B$27:$M$27)*Assumptions!E50)-(SUMIF('ARR bridge'!$B$5:$M$5,3,'ARR bridge'!$B$30:$M$30)+SUMIF('ARR bridge'!$B$5:$M$5,3,'ARR bridge'!$B$26:$M$26)*Assumptions!E46)*(Assumptions!E51+Assumptions!E52))</f>
        <v/>
      </c>
    </row>
    <row r="26">
      <c r="A26" t="inlineStr">
        <is>
          <t>Net income</t>
        </is>
      </c>
      <c r="B26" t="inlineStr">
        <is>
          <t>High</t>
        </is>
      </c>
      <c r="C26" s="16">
        <f>(C25-N(Assumptions!C53)+N(Assumptions!C56)-N(Assumptions!C57))-MAX(0,(C25-N(Assumptions!C53)+N(Assumptions!C56)-N(Assumptions!C57)))*Assumptions!C58</f>
        <v/>
      </c>
      <c r="D26" s="16">
        <f>(D25-N(Assumptions!D53)+N(Assumptions!D56)-N(Assumptions!D57))-MAX(0,(D25-N(Assumptions!D53)+N(Assumptions!D56)-N(Assumptions!D57)))*Assumptions!D58</f>
        <v/>
      </c>
      <c r="E26" s="16">
        <f>(E25-N(Assumptions!E53)+N(Assumptions!E56)-N(Assumptions!E57))-MAX(0,(E25-N(Assumptions!E53)+N(Assumptions!E56)-N(Assumptions!E57)))*Assumptions!E58</f>
        <v/>
      </c>
    </row>
    <row r="27">
      <c r="A27" t="inlineStr">
        <is>
          <t>Net revenue retention</t>
        </is>
      </c>
      <c r="B27" t="inlineStr">
        <is>
          <t>High</t>
        </is>
      </c>
      <c r="C27" s="14">
        <f>IFERROR(('ARR bridge'!B25+SUMIF('ARR bridge'!$B$5:$M$5,1,'ARR bridge'!$B$27:$M$27)-SUMIF('ARR bridge'!$B$5:$M$5,1,'ARR bridge'!$B$28:$M$28))/'ARR bridge'!B25,0)</f>
        <v/>
      </c>
      <c r="D27" s="14">
        <f>IFERROR(('ARR bridge'!F25+SUMIF('ARR bridge'!$B$5:$M$5,2,'ARR bridge'!$B$27:$M$27)-SUMIF('ARR bridge'!$B$5:$M$5,2,'ARR bridge'!$B$28:$M$28))/'ARR bridge'!F25,0)</f>
        <v/>
      </c>
      <c r="E27" s="14">
        <f>IFERROR(('ARR bridge'!J25+SUMIF('ARR bridge'!$B$5:$M$5,3,'ARR bridge'!$B$27:$M$27)-SUMIF('ARR bridge'!$B$5:$M$5,3,'ARR bridge'!$B$28:$M$28))/'ARR bridge'!J25,0)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58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62" customWidth="1" min="8" max="8"/>
  </cols>
  <sheetData>
    <row r="1">
      <c r="A1" s="4" t="inlineStr">
        <is>
          <t>Transaction pro forma: what last year would have looked like if the acquisition had already happened</t>
        </is>
      </c>
    </row>
    <row r="2">
      <c r="A2" s="3" t="inlineStr">
        <is>
          <t>Historical columns plus adjustments, in the columnar form SEC Regulation S-X Article 11 describes. A planning tool, not an SEC filing.</t>
        </is>
      </c>
    </row>
    <row r="4">
      <c r="A4" s="9" t="inlineStr">
        <is>
          <t>Deal inputs</t>
        </is>
      </c>
      <c r="B4" s="10" t="n"/>
      <c r="C4" s="10" t="n"/>
      <c r="D4" s="10" t="n"/>
      <c r="E4" s="10" t="n"/>
      <c r="F4" s="10" t="n"/>
      <c r="G4" s="10" t="n"/>
      <c r="H4" s="10" t="n"/>
    </row>
    <row r="5">
      <c r="A5" t="inlineStr">
        <is>
          <t>Acquired intangible assets (customer relationships, technology)</t>
        </is>
      </c>
      <c r="C5" s="8" t="n"/>
    </row>
    <row r="6">
      <c r="A6" t="inlineStr">
        <is>
          <t>Useful life of those intangibles, years (straight line)</t>
        </is>
      </c>
      <c r="C6" s="6" t="n"/>
    </row>
    <row r="7">
      <c r="A7" t="inlineStr">
        <is>
          <t>New debt used to pay for the deal</t>
        </is>
      </c>
      <c r="C7" s="8" t="n"/>
    </row>
    <row r="8">
      <c r="A8" t="inlineStr">
        <is>
          <t>Interest rate on that debt</t>
        </is>
      </c>
      <c r="C8" s="13" t="n"/>
    </row>
    <row r="9">
      <c r="A9" t="inlineStr">
        <is>
          <t>Tax rate applied to the adjustments</t>
        </is>
      </c>
      <c r="C9" s="13" t="n"/>
    </row>
    <row r="10">
      <c r="A10" t="inlineStr">
        <is>
          <t>Seller costs that will not continue (management's adjustment, optional)</t>
        </is>
      </c>
      <c r="C10" s="8" t="n"/>
    </row>
    <row r="12" ht="45" customHeight="1">
      <c r="A12" s="11" t="inlineStr">
        <is>
          <t>Line</t>
        </is>
      </c>
      <c r="B12" s="12" t="inlineStr">
        <is>
          <t>Buyer (historical)</t>
        </is>
      </c>
      <c r="C12" s="12" t="inlineStr">
        <is>
          <t>Target (historical)</t>
        </is>
      </c>
      <c r="D12" s="12" t="inlineStr">
        <is>
          <t>Transaction adjustments</t>
        </is>
      </c>
      <c r="E12" s="12" t="inlineStr">
        <is>
          <t>Pro forma combined</t>
        </is>
      </c>
      <c r="F12" s="12" t="inlineStr">
        <is>
          <t>Management's adjustments</t>
        </is>
      </c>
      <c r="G12" s="12" t="inlineStr">
        <is>
          <t>Pro forma after management's adjustments</t>
        </is>
      </c>
      <c r="H12" s="12" t="inlineStr">
        <is>
          <t>How the adjustment is built</t>
        </is>
      </c>
    </row>
    <row r="13">
      <c r="A13" t="inlineStr">
        <is>
          <t>Revenue</t>
        </is>
      </c>
      <c r="B13" s="16">
        <f>Assumptions!C12+Assumptions!C13</f>
        <v/>
      </c>
      <c r="C13" s="8" t="n"/>
      <c r="D13" s="16">
        <f>0</f>
        <v/>
      </c>
      <c r="E13" s="16">
        <f>B13+C13+D13</f>
        <v/>
      </c>
      <c r="F13" s="16">
        <f>0</f>
        <v/>
      </c>
      <c r="G13" s="16">
        <f>E13+F13</f>
        <v/>
      </c>
    </row>
    <row r="14">
      <c r="A14" t="inlineStr">
        <is>
          <t>Cost of revenue</t>
        </is>
      </c>
      <c r="B14" s="16">
        <f>Assumptions!C14+Assumptions!C15</f>
        <v/>
      </c>
      <c r="C14" s="8" t="n"/>
      <c r="D14" s="16">
        <f>0</f>
        <v/>
      </c>
      <c r="E14" s="16">
        <f>B14+C14+D14</f>
        <v/>
      </c>
      <c r="F14" s="16">
        <f>0</f>
        <v/>
      </c>
      <c r="G14" s="16">
        <f>E14+F14</f>
        <v/>
      </c>
    </row>
    <row r="15">
      <c r="A15" s="17" t="inlineStr">
        <is>
          <t>Gross profit</t>
        </is>
      </c>
      <c r="B15" s="18">
        <f>B13-B14</f>
        <v/>
      </c>
      <c r="C15" s="18">
        <f>C13-C14</f>
        <v/>
      </c>
      <c r="D15" s="18">
        <f>D13-D14</f>
        <v/>
      </c>
      <c r="E15" s="18">
        <f>E13-E14</f>
        <v/>
      </c>
      <c r="F15" s="18">
        <f>F13-F14</f>
        <v/>
      </c>
      <c r="G15" s="18">
        <f>G13-G14</f>
        <v/>
      </c>
    </row>
    <row r="16">
      <c r="A16" t="inlineStr">
        <is>
          <t>Operating expenses (excluding D&amp;A)</t>
        </is>
      </c>
      <c r="B16" s="16">
        <f>Assumptions!C16+Assumptions!C17+Assumptions!C18</f>
        <v/>
      </c>
      <c r="C16" s="8" t="n"/>
      <c r="D16" s="16">
        <f>0</f>
        <v/>
      </c>
      <c r="E16" s="16">
        <f>B16+C16+D16</f>
        <v/>
      </c>
      <c r="F16" s="16">
        <f>-N($C$10)</f>
        <v/>
      </c>
      <c r="G16" s="16">
        <f>E16+F16</f>
        <v/>
      </c>
      <c r="H16" s="3" t="inlineStr">
        <is>
          <t>Management's column only: costs that stop after the deal (needs a reasonable basis)</t>
        </is>
      </c>
    </row>
    <row r="17">
      <c r="A17" t="inlineStr">
        <is>
          <t>Depreciation and amortization</t>
        </is>
      </c>
      <c r="B17" s="16">
        <f>Assumptions!C19</f>
        <v/>
      </c>
      <c r="C17" s="8" t="n"/>
      <c r="D17" s="16">
        <f>IFERROR($C$5/$C$6,0)</f>
        <v/>
      </c>
      <c r="E17" s="16">
        <f>B17+C17+D17</f>
        <v/>
      </c>
      <c r="F17" s="16">
        <f>0</f>
        <v/>
      </c>
      <c r="G17" s="16">
        <f>E17+F17</f>
        <v/>
      </c>
      <c r="H17" s="3" t="inlineStr">
        <is>
          <t>Adds a year of amortization: acquired intangibles / useful life</t>
        </is>
      </c>
    </row>
    <row r="18">
      <c r="A18" s="17" t="inlineStr">
        <is>
          <t>Operating income</t>
        </is>
      </c>
      <c r="B18" s="18">
        <f>B15-B16-B17</f>
        <v/>
      </c>
      <c r="C18" s="18">
        <f>C15-C16-C17</f>
        <v/>
      </c>
      <c r="D18" s="18">
        <f>D15-D16-D17</f>
        <v/>
      </c>
      <c r="E18" s="18">
        <f>E15-E16-E17</f>
        <v/>
      </c>
      <c r="F18" s="18">
        <f>F15-F16-F17</f>
        <v/>
      </c>
      <c r="G18" s="18">
        <f>G15-G16-G17</f>
        <v/>
      </c>
    </row>
    <row r="19">
      <c r="A19" t="inlineStr">
        <is>
          <t>Net interest (income minus expense)</t>
        </is>
      </c>
      <c r="B19" s="16">
        <f>Assumptions!C22-Assumptions!C23</f>
        <v/>
      </c>
      <c r="C19" s="8" t="n"/>
      <c r="D19" s="16">
        <f>-N($C$7)*N($C$8)</f>
        <v/>
      </c>
      <c r="E19" s="16">
        <f>B19+C19+D19</f>
        <v/>
      </c>
      <c r="F19" s="16">
        <f>0</f>
        <v/>
      </c>
      <c r="G19" s="16">
        <f>E19+F19</f>
        <v/>
      </c>
      <c r="H19" s="3" t="inlineStr">
        <is>
          <t>Interest on the new debt: debt x rate, for the full year</t>
        </is>
      </c>
    </row>
    <row r="20">
      <c r="A20" s="17" t="inlineStr">
        <is>
          <t>Income before taxes</t>
        </is>
      </c>
      <c r="B20" s="18">
        <f>B18+B19</f>
        <v/>
      </c>
      <c r="C20" s="18">
        <f>C18+C19</f>
        <v/>
      </c>
      <c r="D20" s="18">
        <f>D18+D19</f>
        <v/>
      </c>
      <c r="E20" s="18">
        <f>E18+E19</f>
        <v/>
      </c>
      <c r="F20" s="18">
        <f>F18+F19</f>
        <v/>
      </c>
      <c r="G20" s="18">
        <f>G18+G19</f>
        <v/>
      </c>
    </row>
    <row r="21">
      <c r="A21" t="inlineStr">
        <is>
          <t>Income tax expense (negative = benefit)</t>
        </is>
      </c>
      <c r="B21" s="16">
        <f>Assumptions!C24</f>
        <v/>
      </c>
      <c r="C21" s="8" t="n"/>
      <c r="D21" s="16">
        <f>D20*N($C$9)</f>
        <v/>
      </c>
      <c r="E21" s="16">
        <f>B21+C21+D21</f>
        <v/>
      </c>
      <c r="F21" s="16">
        <f>F20*N($C$9)</f>
        <v/>
      </c>
      <c r="G21" s="16">
        <f>E21+F21</f>
        <v/>
      </c>
      <c r="H21" s="3" t="inlineStr">
        <is>
          <t>Tax effect of the adjustments: adjustment pretax x tax rate</t>
        </is>
      </c>
    </row>
    <row r="22">
      <c r="A22" s="17" t="inlineStr">
        <is>
          <t>Net income</t>
        </is>
      </c>
      <c r="B22" s="18">
        <f>B20-B21</f>
        <v/>
      </c>
      <c r="C22" s="18">
        <f>C20-C21</f>
        <v/>
      </c>
      <c r="D22" s="18">
        <f>D20-D21</f>
        <v/>
      </c>
      <c r="E22" s="18">
        <f>E20-E21</f>
        <v/>
      </c>
      <c r="F22" s="18">
        <f>F20-F21</f>
        <v/>
      </c>
      <c r="G22" s="18">
        <f>G20-G21</f>
        <v/>
      </c>
    </row>
    <row r="24">
      <c r="A24" t="inlineStr">
        <is>
          <t>Check: pro forma combined revenue = buyer + target</t>
        </is>
      </c>
      <c r="B24" s="19">
        <f>IF(ABS(E13-B13-C13)&lt;1,"OK","Check")</f>
        <v/>
      </c>
    </row>
    <row r="26">
      <c r="A26" s="3" t="inlineStr">
        <is>
          <t>How to read it: the Pro forma combined column is the as-if view (both companies for the full year, plus the accounting the deal creates).</t>
        </is>
      </c>
    </row>
    <row r="27">
      <c r="A27" s="3" t="inlineStr">
        <is>
          <t>Synergies belong only in the Management's adjustments column, kept separate, and each one needs a reasonable basis.</t>
        </is>
      </c>
    </row>
    <row r="28">
      <c r="A28" s="3" t="inlineStr">
        <is>
          <t>Public companies: when and how this is filed is set by SEC Regulation S-X Article 11 (17 CFR 210.11-01 and 210.11-02). Ask your auditors.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2026-10-25T18:58:17Z</dcterms:created>
  <dcterms:modified xmlns:dcterms="http://purl.org/dc/terms/" xmlns:xsi="http://www.w3.org/2001/XMLSchema-instance" xsi:type="dcterms:W3CDTF">2026-10-25T18:58:17Z</dcterms:modified>
</cp:coreProperties>
</file>