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Assumptions" sheetId="3" state="visible" r:id="rId3"/>
    <sheet xmlns:r="http://schemas.openxmlformats.org/officeDocument/2006/relationships" name="ARR target" sheetId="4" state="visible" r:id="rId4"/>
    <sheet xmlns:r="http://schemas.openxmlformats.org/officeDocument/2006/relationships" name="AE capacity" sheetId="5" state="visible" r:id="rId5"/>
    <sheet xmlns:r="http://schemas.openxmlformats.org/officeDocument/2006/relationships" name="Teams" sheetId="6" state="visible" r:id="rId6"/>
    <sheet xmlns:r="http://schemas.openxmlformats.org/officeDocument/2006/relationships" name="Hiring plan" sheetId="7" state="visible" r:id="rId7"/>
    <sheet xmlns:r="http://schemas.openxmlformats.org/officeDocument/2006/relationships" name="Cost" sheetId="8" state="visible" r:id="rId8"/>
  </sheets>
  <definedNames/>
  <calcPr calcId="124519" fullCalcOnLoad="1"/>
</workbook>
</file>

<file path=xl/styles.xml><?xml version="1.0" encoding="utf-8"?>
<styleSheet xmlns="http://schemas.openxmlformats.org/spreadsheetml/2006/main">
  <numFmts count="8">
    <numFmt numFmtId="164" formatCode="mmm d, yyyy"/>
    <numFmt numFmtId="165" formatCode="#,##0;[Red]-#,##0;&quot;-&quot;"/>
    <numFmt numFmtId="166" formatCode="0.0#"/>
    <numFmt numFmtId="167" formatCode="0.0%"/>
    <numFmt numFmtId="168" formatCode="0.0000"/>
    <numFmt numFmtId="169" formatCode="0.000"/>
    <numFmt numFmtId="170" formatCode="0.0;-0.0;&quot;-&quot;"/>
    <numFmt numFmtId="171" formatCode="0;-0;&quot;-&quot;"/>
  </numFmts>
  <fonts count="6">
    <font>
      <name val="Calibri"/>
      <family val="2"/>
      <color theme="1"/>
      <sz val="11"/>
      <scheme val="minor"/>
    </font>
    <font>
      <b val="1"/>
      <sz val="14"/>
    </font>
    <font>
      <i val="1"/>
      <color rgb="00666666"/>
      <sz val="9"/>
    </font>
    <font>
      <b val="1"/>
    </font>
    <font>
      <b val="1"/>
      <color rgb="00FFFFFF"/>
    </font>
    <font>
      <color rgb="00FFFFFF"/>
      <sz val="8"/>
    </font>
  </fonts>
  <fills count="7">
    <fill>
      <patternFill/>
    </fill>
    <fill>
      <patternFill patternType="gray125"/>
    </fill>
    <fill>
      <patternFill patternType="solid">
        <fgColor rgb="00F3F1EE"/>
      </patternFill>
    </fill>
    <fill>
      <patternFill patternType="solid">
        <fgColor rgb="00FFF4C2"/>
      </patternFill>
    </fill>
    <fill>
      <patternFill patternType="solid">
        <fgColor rgb="001F1F1F"/>
      </patternFill>
    </fill>
    <fill>
      <patternFill patternType="solid">
        <fgColor rgb="00EDEDED"/>
      </patternFill>
    </fill>
    <fill>
      <patternFill patternType="solid">
        <fgColor rgb="00F7F7F7"/>
      </patternFill>
    </fill>
  </fills>
  <borders count="1">
    <border>
      <left/>
      <right/>
      <top/>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3" fillId="2" borderId="0" applyAlignment="1" pivotButton="0" quotePrefix="0" xfId="0">
      <alignment vertical="top" wrapText="1"/>
    </xf>
    <xf numFmtId="165" fontId="0" fillId="0" borderId="0" pivotButton="0" quotePrefix="0" xfId="0"/>
    <xf numFmtId="0" fontId="3" fillId="0" borderId="0" pivotButton="0" quotePrefix="0" xfId="0"/>
    <xf numFmtId="165" fontId="3" fillId="0" borderId="0" pivotButton="0" quotePrefix="0" xfId="0"/>
    <xf numFmtId="167" fontId="0" fillId="0" borderId="0" pivotButton="0" quotePrefix="0" xfId="0"/>
    <xf numFmtId="170" fontId="0" fillId="0" borderId="0" pivotButton="0" quotePrefix="0" xfId="0"/>
    <xf numFmtId="170" fontId="3" fillId="0" borderId="0" pivotButton="0" quotePrefix="0" xfId="0"/>
    <xf numFmtId="171" fontId="0" fillId="0" borderId="0" pivotButton="0" quotePrefix="0" xfId="0"/>
    <xf numFmtId="9" fontId="0" fillId="0" borderId="0" pivotButton="0" quotePrefix="0" xfId="0"/>
    <xf numFmtId="1" fontId="0" fillId="0" borderId="0" pivotButton="0" quotePrefix="0" xfId="0"/>
    <xf numFmtId="0" fontId="0" fillId="3" borderId="0" pivotButton="0" quotePrefix="0" xfId="0"/>
    <xf numFmtId="164" fontId="0" fillId="3" borderId="0" pivotButton="0" quotePrefix="0" xfId="0"/>
    <xf numFmtId="165" fontId="0" fillId="3" borderId="0" pivotButton="0" quotePrefix="0" xfId="0"/>
    <xf numFmtId="9" fontId="0" fillId="3" borderId="0" pivotButton="0" quotePrefix="0" xfId="0"/>
    <xf numFmtId="1" fontId="0" fillId="3" borderId="0" pivotButton="0" quotePrefix="0" xfId="0"/>
    <xf numFmtId="0" fontId="4" fillId="4" borderId="0" pivotButton="0" quotePrefix="0" xfId="0"/>
    <xf numFmtId="0" fontId="0" fillId="4" borderId="0" pivotButton="0" quotePrefix="0" xfId="0"/>
    <xf numFmtId="166" fontId="0" fillId="3" borderId="0" pivotButton="0" quotePrefix="0" xfId="0"/>
    <xf numFmtId="0" fontId="0" fillId="5" borderId="0" pivotButton="0" quotePrefix="0" xfId="0"/>
    <xf numFmtId="9" fontId="0" fillId="5" borderId="0" pivotButton="0" quotePrefix="0" xfId="0"/>
    <xf numFmtId="165" fontId="0" fillId="5" borderId="0" pivotButton="0" quotePrefix="0" xfId="0"/>
    <xf numFmtId="167" fontId="0" fillId="5" borderId="0" pivotButton="0" quotePrefix="0" xfId="0"/>
    <xf numFmtId="0" fontId="5" fillId="0" borderId="0" pivotButton="0" quotePrefix="0" xfId="0"/>
    <xf numFmtId="0" fontId="3" fillId="6" borderId="0" pivotButton="0" quotePrefix="0" xfId="0"/>
    <xf numFmtId="165" fontId="3" fillId="6" borderId="0" pivotButton="0" quotePrefix="0" xfId="0"/>
    <xf numFmtId="164"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168" fontId="2" fillId="0" borderId="0" pivotButton="0" quotePrefix="0" xfId="0"/>
    <xf numFmtId="171" fontId="3" fillId="0" borderId="0" pivotButton="0" quotePrefix="0" xfId="0"/>
  </cellXfs>
  <cellStyles count="1">
    <cellStyle name="Normal" xfId="0" builtinId="0" hidden="0"/>
  </cellStyles>
  <dxfs count="1">
    <dxf>
      <font>
        <b val="1"/>
        <color rgb="00C92A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20" customWidth="1" min="1" max="1"/>
  </cols>
  <sheetData>
    <row r="1">
      <c r="A1" s="1" t="inlineStr">
        <is>
          <t>ORM Headcount Planning Template for SaaS (hiring plan by team and quarter)</t>
        </is>
      </c>
    </row>
    <row r="2">
      <c r="A2" s="2" t="inlineStr">
        <is>
          <t>Blank template: same formulas, no company numbers. Yellow cells are inputs. Everything else is a formula.</t>
        </is>
      </c>
    </row>
    <row r="4">
      <c r="A4" s="3" t="inlineStr">
        <is>
          <t>What this workbook does</t>
        </is>
      </c>
    </row>
    <row r="5">
      <c r="A5" s="4" t="inlineStr">
        <is>
          <t>It starts from the ARR target and works out how many people each team needs in each of the next eight quarters, who you must hire (growth hires and backfills), when each requisition has to open, and what the people cost, fully loaded.</t>
        </is>
      </c>
    </row>
    <row r="6">
      <c r="A6" s="4" t="inlineStr">
        <is>
          <t>Account executives are planned from the new-logo ARR target with ramp and attrition. Every other team follows a driver you set: a ratio to AEs, ARR per head, a span of control, a ratio to other employees, or a manual number. Yellow cells are inputs. Everything else is a formula. No macros.</t>
        </is>
      </c>
    </row>
    <row r="7">
      <c r="A7" s="4" t="inlineStr"/>
    </row>
    <row r="8">
      <c r="A8" s="3" t="inlineStr">
        <is>
          <t>Fill it in this order</t>
        </is>
      </c>
    </row>
    <row r="9">
      <c r="A9" s="4" t="inlineStr">
        <is>
          <t>1. Assumptions: year 1 start date, starting ARR, growth targets for year 1 and year 2, GRR and NRR, AE quota, hire lead, payroll load, tools per head, pay increase.</t>
        </is>
      </c>
    </row>
    <row r="10">
      <c r="A10" s="4" t="inlineStr">
        <is>
          <t>2. Assumptions: seasonality, the AE ramp curve (share of full quota booked at each tenure level), the AE team on day one by tenure level, AE pay and attrition.</t>
        </is>
      </c>
    </row>
    <row r="11">
      <c r="A11" s="4" t="inlineStr">
        <is>
          <t>3. Assumptions: one row per team with its department, driver and driver value, starting heads, annual attrition, base, variable at target, recruiting cost and time to fill.</t>
        </is>
      </c>
    </row>
    <row r="12">
      <c r="A12" s="4" t="inlineStr">
        <is>
          <t>4. AE capacity: read the gap. Add manual AE hires (offers already out, strategic hires) in the yellow row. The sheet adds the hires the target needs, a set number of quarters ahead.</t>
        </is>
      </c>
    </row>
    <row r="13">
      <c r="A13" s="4" t="inlineStr">
        <is>
          <t>5. Teams: read required heads, hires, backfills and cost for every team. Type numbers in a team's yellow Override row to replace its driver (R&amp;D uses this row in the example).</t>
        </is>
      </c>
    </row>
    <row r="14">
      <c r="A14" s="4" t="inlineStr">
        <is>
          <t>6. Hiring plan: the hires by team and quarter, and the date each requisition must open. Cost: people cost by department and quarter. Summary: the plan on one page and the checks.</t>
        </is>
      </c>
    </row>
    <row r="15">
      <c r="A15" s="4" t="inlineStr"/>
    </row>
    <row r="16">
      <c r="A16" s="3" t="inlineStr">
        <is>
          <t>Formulas in words</t>
        </is>
      </c>
    </row>
    <row r="17">
      <c r="A17" s="4" t="inlineStr">
        <is>
          <t>New-logo ARR needed for a year = target ending ARR - starting ARR + churn and contraction (start x (1 - GRR)) - expansion (start x (NRR - GRR)). Each quarter gets its seasonality share.</t>
        </is>
      </c>
    </row>
    <row r="18">
      <c r="A18" s="4" t="inlineStr">
        <is>
          <t>AE capacity in a quarter = sum over AEs of (full annual quota x quarter seasonality x ramp value at that AE's tenure level x share of the cohort still employed).</t>
        </is>
      </c>
    </row>
    <row r="19">
      <c r="A19" s="4" t="inlineStr">
        <is>
          <t>Ramp values are the share of FULL quota an AE books at each tenure level (level 1 = months 1 to 3 ... level 6 = month 16 on). Measure them against full quota, not a reduced ramp quota.</t>
        </is>
      </c>
    </row>
    <row r="20">
      <c r="A20" s="4" t="inlineStr">
        <is>
          <t>Quarterly retention = (1 - annual attrition) ^ (1/4). Expected departures in a quarter = heads during the quarter x (1 - quarterly retention).</t>
        </is>
      </c>
    </row>
    <row r="21">
      <c r="A21" s="4" t="inlineStr">
        <is>
          <t>Planned AE hires in quarter h = the AE capacity gap in quarter h + lead, divided by what one hire delivers by then (retention ^ lead x ramp at level lead + 1), rounded up.</t>
        </is>
      </c>
    </row>
    <row r="22">
      <c r="A22" s="4" t="inlineStr">
        <is>
          <t>Other teams: hires = required heads - heads at the start of the quarter, rounded to whole people, never below zero. Ratio drivers use AE heads rounded to whole people. Backfill hires = hires up to last quarter's departures.</t>
        </is>
      </c>
    </row>
    <row r="23">
      <c r="A23" s="4" t="inlineStr">
        <is>
          <t>Fully loaded cost per head per year = base x (1 + payroll load) + variable at target + tools. Year 2 base and variable rise by the pay increase. Recruiting cost is charged once per hire.</t>
        </is>
      </c>
    </row>
    <row r="24">
      <c r="A24" s="4" t="inlineStr">
        <is>
          <t>Open the requisition by = quarter start date - time to fill (days).</t>
        </is>
      </c>
    </row>
    <row r="25">
      <c r="A25" s="4" t="inlineStr"/>
    </row>
    <row r="26">
      <c r="A26" s="3" t="inlineStr">
        <is>
          <t>Three rules</t>
        </is>
      </c>
    </row>
    <row r="27">
      <c r="A27" s="4" t="inlineStr">
        <is>
          <t>Hire for the quarter that needs the capacity, not the quarter you notice the gap. An AE hired the quarter you need them books almost nothing that quarter.</t>
        </is>
      </c>
    </row>
    <row r="28">
      <c r="A28" s="4" t="inlineStr">
        <is>
          <t>Plan backfills as hires. A plan that only funds growth hires shrinks every quarter by its attrition rate.</t>
        </is>
      </c>
    </row>
    <row r="29">
      <c r="A29" s="4" t="inlineStr">
        <is>
          <t>Write down every driver and why it changed from last year. Ramp and attrition by role matter more than any single headcount number.</t>
        </is>
      </c>
    </row>
    <row r="30">
      <c r="A30" s="4" t="inlineStr"/>
    </row>
    <row r="31">
      <c r="A31" s="4" t="inlineStr">
        <is>
          <t>Heads are expected values: attrition is applied as a rate, so heads show decimals while hires are whole people. People join on the first day of the quarter and leave at its end.</t>
        </is>
      </c>
    </row>
    <row r="32">
      <c r="A32" s="4" t="inlineStr">
        <is>
          <t>Made by ORM Technologies, orm-tech.com/tools/headcount-planning-template/. Sources for defaults are on the Assumptions tab.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Summary: the headcount plan on one page</t>
        </is>
      </c>
    </row>
    <row r="2">
      <c r="A2" s="2" t="inlineStr">
        <is>
          <t>Blank template: same formulas, no company numbers. Yellow cells are inputs. Everything else is a formula.</t>
        </is>
      </c>
    </row>
    <row r="5">
      <c r="A5" s="5" t="inlineStr">
        <is>
          <t>Line</t>
        </is>
      </c>
      <c r="B5" s="5" t="inlineStr">
        <is>
          <t>Y1 Q1</t>
        </is>
      </c>
      <c r="C5" s="5" t="inlineStr">
        <is>
          <t>Y1 Q2</t>
        </is>
      </c>
      <c r="D5" s="5" t="inlineStr">
        <is>
          <t>Y1 Q3</t>
        </is>
      </c>
      <c r="E5" s="5" t="inlineStr">
        <is>
          <t>Y1 Q4</t>
        </is>
      </c>
      <c r="F5" s="5" t="inlineStr">
        <is>
          <t>Y2 Q1</t>
        </is>
      </c>
      <c r="G5" s="5" t="inlineStr">
        <is>
          <t>Y2 Q2</t>
        </is>
      </c>
      <c r="H5" s="5" t="inlineStr">
        <is>
          <t>Y2 Q3</t>
        </is>
      </c>
      <c r="I5" s="5" t="inlineStr">
        <is>
          <t>Y2 Q4</t>
        </is>
      </c>
      <c r="J5" s="5" t="inlineStr">
        <is>
          <t>Year 1</t>
        </is>
      </c>
      <c r="K5" s="5" t="inlineStr">
        <is>
          <t>Year 2</t>
        </is>
      </c>
    </row>
    <row r="6">
      <c r="A6" t="inlineStr">
        <is>
          <t>Ending ARR</t>
        </is>
      </c>
      <c r="B6" s="6">
        <f>'ARR target'!B18</f>
        <v/>
      </c>
      <c r="C6" s="6">
        <f>'ARR target'!C18</f>
        <v/>
      </c>
      <c r="D6" s="6">
        <f>'ARR target'!D18</f>
        <v/>
      </c>
      <c r="E6" s="6">
        <f>'ARR target'!E18</f>
        <v/>
      </c>
      <c r="F6" s="6">
        <f>'ARR target'!F18</f>
        <v/>
      </c>
      <c r="G6" s="6">
        <f>'ARR target'!G18</f>
        <v/>
      </c>
      <c r="H6" s="6">
        <f>'ARR target'!H18</f>
        <v/>
      </c>
      <c r="I6" s="6">
        <f>'ARR target'!I18</f>
        <v/>
      </c>
      <c r="J6" s="6">
        <f>E6</f>
        <v/>
      </c>
      <c r="K6" s="6">
        <f>I6</f>
        <v/>
      </c>
    </row>
    <row r="7">
      <c r="A7" t="inlineStr">
        <is>
          <t>New-logo ARR target</t>
        </is>
      </c>
      <c r="B7" s="6">
        <f>'AE capacity'!C11</f>
        <v/>
      </c>
      <c r="C7" s="6">
        <f>'AE capacity'!D11</f>
        <v/>
      </c>
      <c r="D7" s="6">
        <f>'AE capacity'!E11</f>
        <v/>
      </c>
      <c r="E7" s="6">
        <f>'AE capacity'!F11</f>
        <v/>
      </c>
      <c r="F7" s="6">
        <f>'AE capacity'!G11</f>
        <v/>
      </c>
      <c r="G7" s="6">
        <f>'AE capacity'!H11</f>
        <v/>
      </c>
      <c r="H7" s="6">
        <f>'AE capacity'!I11</f>
        <v/>
      </c>
      <c r="I7" s="6">
        <f>'AE capacity'!J11</f>
        <v/>
      </c>
      <c r="J7" s="6">
        <f>SUM(B7:E7)</f>
        <v/>
      </c>
      <c r="K7" s="6">
        <f>SUM(F7:I7)</f>
        <v/>
      </c>
    </row>
    <row r="8">
      <c r="A8" t="inlineStr">
        <is>
          <t>New-logo ARR the AEs can book</t>
        </is>
      </c>
      <c r="B8" s="6">
        <f>'AE capacity'!C64</f>
        <v/>
      </c>
      <c r="C8" s="6">
        <f>'AE capacity'!D64</f>
        <v/>
      </c>
      <c r="D8" s="6">
        <f>'AE capacity'!E64</f>
        <v/>
      </c>
      <c r="E8" s="6">
        <f>'AE capacity'!F64</f>
        <v/>
      </c>
      <c r="F8" s="6">
        <f>'AE capacity'!G64</f>
        <v/>
      </c>
      <c r="G8" s="6">
        <f>'AE capacity'!H64</f>
        <v/>
      </c>
      <c r="H8" s="6">
        <f>'AE capacity'!I64</f>
        <v/>
      </c>
      <c r="I8" s="6">
        <f>'AE capacity'!J64</f>
        <v/>
      </c>
      <c r="J8" s="6">
        <f>SUM(B8:E8)</f>
        <v/>
      </c>
      <c r="K8" s="6">
        <f>SUM(F8:I8)</f>
        <v/>
      </c>
    </row>
    <row r="9">
      <c r="A9" s="7" t="inlineStr">
        <is>
          <t>Gap (capacity - target)</t>
        </is>
      </c>
      <c r="B9" s="8">
        <f>B8-B7</f>
        <v/>
      </c>
      <c r="C9" s="8">
        <f>C8-C7</f>
        <v/>
      </c>
      <c r="D9" s="8">
        <f>D8-D7</f>
        <v/>
      </c>
      <c r="E9" s="8">
        <f>E8-E7</f>
        <v/>
      </c>
      <c r="F9" s="8">
        <f>F8-F7</f>
        <v/>
      </c>
      <c r="G9" s="8">
        <f>G8-G7</f>
        <v/>
      </c>
      <c r="H9" s="8">
        <f>H8-H7</f>
        <v/>
      </c>
      <c r="I9" s="8">
        <f>I8-I7</f>
        <v/>
      </c>
      <c r="J9" s="8">
        <f>J8-J7</f>
        <v/>
      </c>
      <c r="K9" s="8">
        <f>K8-K7</f>
        <v/>
      </c>
    </row>
    <row r="10">
      <c r="A10" t="inlineStr">
        <is>
          <t>AE capacity as % of target</t>
        </is>
      </c>
      <c r="B10" s="9">
        <f>IFERROR(B8/B7,0)</f>
        <v/>
      </c>
      <c r="C10" s="9">
        <f>IFERROR(C8/C7,0)</f>
        <v/>
      </c>
      <c r="D10" s="9">
        <f>IFERROR(D8/D7,0)</f>
        <v/>
      </c>
      <c r="E10" s="9">
        <f>IFERROR(E8/E7,0)</f>
        <v/>
      </c>
      <c r="F10" s="9">
        <f>IFERROR(F8/F7,0)</f>
        <v/>
      </c>
      <c r="G10" s="9">
        <f>IFERROR(G8/G7,0)</f>
        <v/>
      </c>
      <c r="H10" s="9">
        <f>IFERROR(H8/H7,0)</f>
        <v/>
      </c>
      <c r="I10" s="9">
        <f>IFERROR(I8/I7,0)</f>
        <v/>
      </c>
      <c r="J10" s="9">
        <f>IFERROR(J8/J7,0)</f>
        <v/>
      </c>
      <c r="K10" s="9">
        <f>IFERROR(K8/K7,0)</f>
        <v/>
      </c>
    </row>
    <row r="11">
      <c r="A11" t="inlineStr">
        <is>
          <t>AE heads</t>
        </is>
      </c>
      <c r="B11" s="10">
        <f>Teams!C7</f>
        <v/>
      </c>
      <c r="C11" s="10">
        <f>Teams!D7</f>
        <v/>
      </c>
      <c r="D11" s="10">
        <f>Teams!E7</f>
        <v/>
      </c>
      <c r="E11" s="10">
        <f>Teams!F7</f>
        <v/>
      </c>
      <c r="F11" s="10">
        <f>Teams!G7</f>
        <v/>
      </c>
      <c r="G11" s="10">
        <f>Teams!H7</f>
        <v/>
      </c>
      <c r="H11" s="10">
        <f>Teams!I7</f>
        <v/>
      </c>
      <c r="I11" s="10">
        <f>Teams!J7</f>
        <v/>
      </c>
      <c r="J11" s="10">
        <f>E11</f>
        <v/>
      </c>
      <c r="K11" s="10">
        <f>I11</f>
        <v/>
      </c>
    </row>
    <row r="12">
      <c r="A12" s="7" t="inlineStr">
        <is>
          <t>Total heads</t>
        </is>
      </c>
      <c r="B12" s="11">
        <f>Cost!C36</f>
        <v/>
      </c>
      <c r="C12" s="11">
        <f>Cost!D36</f>
        <v/>
      </c>
      <c r="D12" s="11">
        <f>Cost!E36</f>
        <v/>
      </c>
      <c r="E12" s="11">
        <f>Cost!F36</f>
        <v/>
      </c>
      <c r="F12" s="11">
        <f>Cost!G36</f>
        <v/>
      </c>
      <c r="G12" s="11">
        <f>Cost!H36</f>
        <v/>
      </c>
      <c r="H12" s="11">
        <f>Cost!I36</f>
        <v/>
      </c>
      <c r="I12" s="11">
        <f>Cost!J36</f>
        <v/>
      </c>
      <c r="J12" s="11">
        <f>E12</f>
        <v/>
      </c>
      <c r="K12" s="11">
        <f>I12</f>
        <v/>
      </c>
    </row>
    <row r="13">
      <c r="A13" t="inlineStr">
        <is>
          <t>Hires</t>
        </is>
      </c>
      <c r="B13" s="12">
        <f>'Hiring plan'!C18</f>
        <v/>
      </c>
      <c r="C13" s="12">
        <f>'Hiring plan'!D18</f>
        <v/>
      </c>
      <c r="D13" s="12">
        <f>'Hiring plan'!E18</f>
        <v/>
      </c>
      <c r="E13" s="12">
        <f>'Hiring plan'!F18</f>
        <v/>
      </c>
      <c r="F13" s="12">
        <f>'Hiring plan'!G18</f>
        <v/>
      </c>
      <c r="G13" s="12">
        <f>'Hiring plan'!H18</f>
        <v/>
      </c>
      <c r="H13" s="12">
        <f>'Hiring plan'!I18</f>
        <v/>
      </c>
      <c r="I13" s="12">
        <f>'Hiring plan'!J18</f>
        <v/>
      </c>
      <c r="J13" s="12">
        <f>SUM(B13:E13)</f>
        <v/>
      </c>
      <c r="K13" s="12">
        <f>SUM(F13:I13)</f>
        <v/>
      </c>
    </row>
    <row r="14">
      <c r="A14" t="inlineStr">
        <is>
          <t>of which backfills</t>
        </is>
      </c>
      <c r="B14" s="10">
        <f>'Hiring plan'!C19</f>
        <v/>
      </c>
      <c r="C14" s="10">
        <f>'Hiring plan'!D19</f>
        <v/>
      </c>
      <c r="D14" s="10">
        <f>'Hiring plan'!E19</f>
        <v/>
      </c>
      <c r="E14" s="10">
        <f>'Hiring plan'!F19</f>
        <v/>
      </c>
      <c r="F14" s="10">
        <f>'Hiring plan'!G19</f>
        <v/>
      </c>
      <c r="G14" s="10">
        <f>'Hiring plan'!H19</f>
        <v/>
      </c>
      <c r="H14" s="10">
        <f>'Hiring plan'!I19</f>
        <v/>
      </c>
      <c r="I14" s="10">
        <f>'Hiring plan'!J19</f>
        <v/>
      </c>
      <c r="J14" s="10">
        <f>SUM(B14:E14)</f>
        <v/>
      </c>
      <c r="K14" s="10">
        <f>SUM(F14:I14)</f>
        <v/>
      </c>
    </row>
    <row r="15">
      <c r="A15" t="inlineStr">
        <is>
          <t>of which growth hires</t>
        </is>
      </c>
      <c r="B15" s="10">
        <f>'Hiring plan'!C20</f>
        <v/>
      </c>
      <c r="C15" s="10">
        <f>'Hiring plan'!D20</f>
        <v/>
      </c>
      <c r="D15" s="10">
        <f>'Hiring plan'!E20</f>
        <v/>
      </c>
      <c r="E15" s="10">
        <f>'Hiring plan'!F20</f>
        <v/>
      </c>
      <c r="F15" s="10">
        <f>'Hiring plan'!G20</f>
        <v/>
      </c>
      <c r="G15" s="10">
        <f>'Hiring plan'!H20</f>
        <v/>
      </c>
      <c r="H15" s="10">
        <f>'Hiring plan'!I20</f>
        <v/>
      </c>
      <c r="I15" s="10">
        <f>'Hiring plan'!J20</f>
        <v/>
      </c>
      <c r="J15" s="10">
        <f>SUM(B15:E15)</f>
        <v/>
      </c>
      <c r="K15" s="10">
        <f>SUM(F15:I15)</f>
        <v/>
      </c>
    </row>
    <row r="16">
      <c r="A16" s="7" t="inlineStr">
        <is>
          <t>Fully loaded people cost</t>
        </is>
      </c>
      <c r="B16" s="8">
        <f>Cost!C25</f>
        <v/>
      </c>
      <c r="C16" s="8">
        <f>Cost!D25</f>
        <v/>
      </c>
      <c r="D16" s="8">
        <f>Cost!E25</f>
        <v/>
      </c>
      <c r="E16" s="8">
        <f>Cost!F25</f>
        <v/>
      </c>
      <c r="F16" s="8">
        <f>Cost!G25</f>
        <v/>
      </c>
      <c r="G16" s="8">
        <f>Cost!H25</f>
        <v/>
      </c>
      <c r="H16" s="8">
        <f>Cost!I25</f>
        <v/>
      </c>
      <c r="I16" s="8">
        <f>Cost!J25</f>
        <v/>
      </c>
      <c r="J16" s="8">
        <f>SUM(B16:E16)</f>
        <v/>
      </c>
      <c r="K16" s="8">
        <f>SUM(F16:I16)</f>
        <v/>
      </c>
    </row>
    <row r="17">
      <c r="A17" t="inlineStr">
        <is>
          <t>Subscription revenue</t>
        </is>
      </c>
      <c r="B17" s="6">
        <f>'ARR target'!B20</f>
        <v/>
      </c>
      <c r="C17" s="6">
        <f>'ARR target'!C20</f>
        <v/>
      </c>
      <c r="D17" s="6">
        <f>'ARR target'!D20</f>
        <v/>
      </c>
      <c r="E17" s="6">
        <f>'ARR target'!E20</f>
        <v/>
      </c>
      <c r="F17" s="6">
        <f>'ARR target'!F20</f>
        <v/>
      </c>
      <c r="G17" s="6">
        <f>'ARR target'!G20</f>
        <v/>
      </c>
      <c r="H17" s="6">
        <f>'ARR target'!H20</f>
        <v/>
      </c>
      <c r="I17" s="6">
        <f>'ARR target'!I20</f>
        <v/>
      </c>
      <c r="J17" s="6">
        <f>SUM(B17:E17)</f>
        <v/>
      </c>
      <c r="K17" s="6">
        <f>SUM(F17:I17)</f>
        <v/>
      </c>
    </row>
    <row r="18">
      <c r="A18" t="inlineStr">
        <is>
          <t>People cost as % of revenue</t>
        </is>
      </c>
      <c r="B18" s="9">
        <f>IFERROR(B16/B17,0)</f>
        <v/>
      </c>
      <c r="C18" s="9">
        <f>IFERROR(C16/C17,0)</f>
        <v/>
      </c>
      <c r="D18" s="9">
        <f>IFERROR(D16/D17,0)</f>
        <v/>
      </c>
      <c r="E18" s="9">
        <f>IFERROR(E16/E17,0)</f>
        <v/>
      </c>
      <c r="F18" s="9">
        <f>IFERROR(F16/F17,0)</f>
        <v/>
      </c>
      <c r="G18" s="9">
        <f>IFERROR(G16/G17,0)</f>
        <v/>
      </c>
      <c r="H18" s="9">
        <f>IFERROR(H16/H17,0)</f>
        <v/>
      </c>
      <c r="I18" s="9">
        <f>IFERROR(I16/I17,0)</f>
        <v/>
      </c>
      <c r="J18" s="9">
        <f>IFERROR(J16/J17,0)</f>
        <v/>
      </c>
      <c r="K18" s="9">
        <f>IFERROR(K16/K17,0)</f>
        <v/>
      </c>
    </row>
    <row r="19">
      <c r="A19" t="inlineStr">
        <is>
          <t>Ending ARR per head</t>
        </is>
      </c>
      <c r="B19" s="6">
        <f>IFERROR(B6/B12,0)</f>
        <v/>
      </c>
      <c r="C19" s="6">
        <f>IFERROR(C6/C12,0)</f>
        <v/>
      </c>
      <c r="D19" s="6">
        <f>IFERROR(D6/D12,0)</f>
        <v/>
      </c>
      <c r="E19" s="6">
        <f>IFERROR(E6/E12,0)</f>
        <v/>
      </c>
      <c r="F19" s="6">
        <f>IFERROR(F6/F12,0)</f>
        <v/>
      </c>
      <c r="G19" s="6">
        <f>IFERROR(G6/G12,0)</f>
        <v/>
      </c>
      <c r="H19" s="6">
        <f>IFERROR(H6/H12,0)</f>
        <v/>
      </c>
      <c r="I19" s="6">
        <f>IFERROR(I6/I12,0)</f>
        <v/>
      </c>
      <c r="J19" s="6">
        <f>IFERROR(J6/J12,0)</f>
        <v/>
      </c>
      <c r="K19" s="6">
        <f>IFERROR(K6/K12,0)</f>
        <v/>
      </c>
    </row>
    <row r="22">
      <c r="A22" s="5" t="inlineStr">
        <is>
          <t>Check</t>
        </is>
      </c>
      <c r="B22" s="5" t="inlineStr">
        <is>
          <t>Value</t>
        </is>
      </c>
      <c r="C22" s="5" t="inlineStr">
        <is>
          <t>Status</t>
        </is>
      </c>
    </row>
    <row r="23">
      <c r="A23" t="inlineStr">
        <is>
          <t>Seasonality adds to 100%</t>
        </is>
      </c>
      <c r="B23" s="13">
        <f>Assumptions!B22</f>
        <v/>
      </c>
      <c r="C23" s="7">
        <f>IF(ABS(B23-1)&lt;0.0001,"OK","Fix: must be 100%")</f>
        <v/>
      </c>
    </row>
    <row r="24">
      <c r="A24" t="inlineStr">
        <is>
          <t>Year 1 AE capacity as % of the new-logo target</t>
        </is>
      </c>
      <c r="B24" s="9">
        <f>J10</f>
        <v/>
      </c>
      <c r="C24" s="7">
        <f>IF(J7=0,"Add inputs",IF(B24&gt;=0.9999,"OK","GAP"))</f>
        <v/>
      </c>
    </row>
    <row r="25">
      <c r="A25" t="inlineStr">
        <is>
          <t>Year 2 AE capacity as % of the new-logo target</t>
        </is>
      </c>
      <c r="B25" s="9">
        <f>K10</f>
        <v/>
      </c>
      <c r="C25" s="7">
        <f>IF(K7=0,"Add inputs",IF(B25&gt;=0.9999,"OK","GAP"))</f>
        <v/>
      </c>
    </row>
    <row r="26">
      <c r="A26" t="inlineStr">
        <is>
          <t>Quarters where AE capacity is below target</t>
        </is>
      </c>
      <c r="B26" s="14">
        <f>COUNTIF(B9:I9,"&lt;-0.5")</f>
        <v/>
      </c>
      <c r="C26" s="7">
        <f>IF(B26=0,"OK","Review: hire earlier or reset the target")</f>
        <v/>
      </c>
    </row>
    <row r="27">
      <c r="A27" t="inlineStr">
        <is>
          <t>Q1 hires whose requisition must open before year 1 starts</t>
        </is>
      </c>
      <c r="B27" s="14">
        <f>'Hiring plan'!K35</f>
        <v/>
      </c>
      <c r="C27" s="7">
        <f>IF(B27&gt;0,"Open these now","OK")</f>
        <v/>
      </c>
    </row>
    <row r="28">
      <c r="A28" t="inlineStr">
        <is>
          <t>Share of year 1 hires that replace leavers</t>
        </is>
      </c>
      <c r="B28" s="13">
        <f>IFERROR(J14/J13,0)</f>
        <v/>
      </c>
      <c r="C28" s="7">
        <f>"Info"</f>
        <v/>
      </c>
    </row>
    <row r="29">
      <c r="A29" t="inlineStr">
        <is>
          <t>Year 1 people cost as % of revenue</t>
        </is>
      </c>
      <c r="B29" s="9">
        <f>J18</f>
        <v/>
      </c>
      <c r="C29" s="7">
        <f>"Info"</f>
        <v/>
      </c>
    </row>
    <row r="30">
      <c r="A30" t="inlineStr">
        <is>
          <t>Ending ARR per head, end of year 1</t>
        </is>
      </c>
      <c r="B30" s="6">
        <f>J19</f>
        <v/>
      </c>
      <c r="C30" s="7">
        <f>"Info: Benchmarkit 2025 median $200K at $50M to $100M ARR"</f>
        <v/>
      </c>
    </row>
    <row r="32">
      <c r="A32" s="2" t="inlineStr">
        <is>
          <t>Revenue is subscription revenue from the ARR target. People cost covers the teams on Teams only. Every number on this tab reads from the other tabs: change inputs on Assumptions, AE capacity (manual hires) and Teams (overrides).</t>
        </is>
      </c>
    </row>
  </sheetData>
  <conditionalFormatting sqref="B9:K9">
    <cfRule type="expression" priority="1" dxfId="0">
      <formula>B9&lt;-0.5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70"/>
  <sheetViews>
    <sheetView workbookViewId="0">
      <pane ySplit="3" topLeftCell="A4" activePane="bottomLeft" state="frozen"/>
      <selection pane="bottomLeft" activeCell="A1" sqref="A1"/>
    </sheetView>
  </sheetViews>
  <sheetFormatPr baseColWidth="8" defaultRowHeight="15"/>
  <cols>
    <col width="46" customWidth="1" min="1" max="1"/>
    <col width="16" customWidth="1" min="2" max="2"/>
    <col width="44" customWidth="1" min="3" max="3"/>
    <col width="14" customWidth="1" min="4" max="4"/>
    <col width="12" customWidth="1" min="5" max="5"/>
    <col width="12" customWidth="1" min="6" max="6"/>
    <col width="13" customWidth="1" min="7" max="7"/>
    <col width="13" customWidth="1" min="8" max="8"/>
    <col width="13" customWidth="1" min="9" max="9"/>
    <col width="11" customWidth="1" min="10" max="10"/>
  </cols>
  <sheetData>
    <row r="1">
      <c r="A1" s="1" t="inlineStr">
        <is>
          <t>Assumptions</t>
        </is>
      </c>
    </row>
    <row r="2">
      <c r="A2" s="2" t="inlineStr">
        <is>
          <t>Blank template: same formulas, no company numbers. Yellow cells are inputs. Everything else is a formula.</t>
        </is>
      </c>
    </row>
    <row r="3">
      <c r="A3" s="5" t="inlineStr">
        <is>
          <t>Input</t>
        </is>
      </c>
      <c r="B3" s="5" t="inlineStr">
        <is>
          <t>Value</t>
        </is>
      </c>
      <c r="C3" s="5" t="inlineStr">
        <is>
          <t>Notes (write down why it changed from last year)</t>
        </is>
      </c>
    </row>
    <row r="4">
      <c r="A4" t="inlineStr">
        <is>
          <t>Company</t>
        </is>
      </c>
      <c r="B4" s="15" t="inlineStr"/>
      <c r="C4" s="2" t="inlineStr"/>
    </row>
    <row r="5">
      <c r="A5" t="inlineStr">
        <is>
          <t>Year 1 start date (first day of the fiscal year)</t>
        </is>
      </c>
      <c r="B5" s="16" t="n"/>
      <c r="C5" s="2" t="inlineStr">
        <is>
          <t>Quarters and requisition dates follow from it</t>
        </is>
      </c>
    </row>
    <row r="6">
      <c r="A6" t="inlineStr">
        <is>
          <t>Starting ARR (first day of year 1)</t>
        </is>
      </c>
      <c r="B6" s="17" t="n"/>
      <c r="C6" s="2" t="inlineStr">
        <is>
          <t>From your ARR bridge at year end</t>
        </is>
      </c>
    </row>
    <row r="7">
      <c r="A7" t="inlineStr">
        <is>
          <t>ARR growth target, year 1</t>
        </is>
      </c>
      <c r="B7" s="18" t="n"/>
      <c r="C7" s="2" t="inlineStr">
        <is>
          <t>What the board expects</t>
        </is>
      </c>
    </row>
    <row r="8">
      <c r="A8" t="inlineStr">
        <is>
          <t>ARR growth target, year 2</t>
        </is>
      </c>
      <c r="B8" s="18" t="n"/>
      <c r="C8" s="2" t="inlineStr">
        <is>
          <t>Plan two years: hires for year 2 start in year 1</t>
        </is>
      </c>
    </row>
    <row r="9">
      <c r="A9" t="inlineStr">
        <is>
          <t>Gross revenue retention (GRR), annual</t>
        </is>
      </c>
      <c r="B9" s="18" t="n"/>
      <c r="C9" s="2" t="inlineStr">
        <is>
          <t>Benchmarkit 2025 median 88%</t>
        </is>
      </c>
    </row>
    <row r="10">
      <c r="A10" t="inlineStr">
        <is>
          <t>Net revenue retention (NRR), annual</t>
        </is>
      </c>
      <c r="B10" s="18" t="n"/>
      <c r="C10" s="2" t="inlineStr">
        <is>
          <t>Benchmarkit 2025 median 101%</t>
        </is>
      </c>
    </row>
    <row r="11">
      <c r="A11" t="inlineStr">
        <is>
          <t>Annual new-logo quota per AE (full quota, ARR)</t>
        </is>
      </c>
      <c r="B11" s="17" t="n"/>
      <c r="C11" s="2" t="inlineStr">
        <is>
          <t>Illustrative. Pete Furseth sees $500K to $1M for SaaS AEs</t>
        </is>
      </c>
    </row>
    <row r="12">
      <c r="A12" t="inlineStr">
        <is>
          <t>AE hire lead (quarters before the capacity is needed)</t>
        </is>
      </c>
      <c r="B12" s="19" t="n"/>
      <c r="C12" s="2" t="inlineStr">
        <is>
          <t>0 to 4. The sheet hires this far ahead of each gap</t>
        </is>
      </c>
    </row>
    <row r="13">
      <c r="A13" t="inlineStr">
        <is>
          <t>Payroll load (% of base: employer taxes, insurance, retirement)</t>
        </is>
      </c>
      <c r="B13" s="18" t="n"/>
      <c r="C13" s="2" t="inlineStr">
        <is>
          <t>24% derived from BLS ECEC, June 2026 (see below)</t>
        </is>
      </c>
    </row>
    <row r="14">
      <c r="A14" t="inlineStr">
        <is>
          <t>Tools, equipment and software per head per year</t>
        </is>
      </c>
      <c r="B14" s="17" t="n"/>
      <c r="C14" s="2" t="inlineStr">
        <is>
          <t>Illustrative: laptop, licenses, seat costs</t>
        </is>
      </c>
    </row>
    <row r="15">
      <c r="A15" t="inlineStr">
        <is>
          <t>Pay increase applied in year 2</t>
        </is>
      </c>
      <c r="B15" s="18" t="n"/>
      <c r="C15" s="2" t="inlineStr">
        <is>
          <t>Illustrative merit and market increase</t>
        </is>
      </c>
    </row>
    <row r="17">
      <c r="A17" s="20" t="inlineStr">
        <is>
          <t>New-logo seasonality: share of the year's new-logo ARR (and of AE quota) in each quarter</t>
        </is>
      </c>
      <c r="B17" s="21" t="n"/>
      <c r="C17" s="21" t="n"/>
    </row>
    <row r="18">
      <c r="A18" t="inlineStr">
        <is>
          <t>Quarter 1</t>
        </is>
      </c>
      <c r="B18" s="18" t="n">
        <v>0.25</v>
      </c>
      <c r="C18" s="2" t="inlineStr">
        <is>
          <t>Use your own last two or three years. ORM sees Q4 largest, then Q2, Q3, Q1 for most customers.</t>
        </is>
      </c>
    </row>
    <row r="19">
      <c r="A19" t="inlineStr">
        <is>
          <t>Quarter 2</t>
        </is>
      </c>
      <c r="B19" s="18" t="n">
        <v>0.25</v>
      </c>
    </row>
    <row r="20">
      <c r="A20" t="inlineStr">
        <is>
          <t>Quarter 3</t>
        </is>
      </c>
      <c r="B20" s="18" t="n">
        <v>0.25</v>
      </c>
    </row>
    <row r="21">
      <c r="A21" t="inlineStr">
        <is>
          <t>Quarter 4</t>
        </is>
      </c>
      <c r="B21" s="18" t="n">
        <v>0.25</v>
      </c>
    </row>
    <row r="22">
      <c r="A22" s="7" t="inlineStr">
        <is>
          <t>Total (must be 100%)</t>
        </is>
      </c>
      <c r="B22" s="13">
        <f>SUM(B18:B21)</f>
        <v/>
      </c>
    </row>
    <row r="24">
      <c r="A24" s="20" t="inlineStr">
        <is>
          <t>AE ramp: share of FULL quota an AE books at each tenure level</t>
        </is>
      </c>
      <c r="B24" s="21" t="n"/>
      <c r="C24" s="21" t="n"/>
    </row>
    <row r="25">
      <c r="A25" t="inlineStr">
        <is>
          <t>Level 1 (months 1 to 3)</t>
        </is>
      </c>
      <c r="B25" s="18" t="n"/>
      <c r="C25" s="2" t="inlineStr">
        <is>
          <t>Illustrative curve. Measure yours by role and region against full quota. ORM sees 15 to 18 months to full productivity.</t>
        </is>
      </c>
    </row>
    <row r="26">
      <c r="A26" t="inlineStr">
        <is>
          <t>Level 2 (months 4 to 6)</t>
        </is>
      </c>
      <c r="B26" s="18" t="n"/>
    </row>
    <row r="27">
      <c r="A27" t="inlineStr">
        <is>
          <t>Level 3 (months 7 to 9)</t>
        </is>
      </c>
      <c r="B27" s="18" t="n"/>
    </row>
    <row r="28">
      <c r="A28" t="inlineStr">
        <is>
          <t>Level 4 (months 10 to 12)</t>
        </is>
      </c>
      <c r="B28" s="18" t="n"/>
    </row>
    <row r="29">
      <c r="A29" t="inlineStr">
        <is>
          <t>Level 5 (months 13 to 15)</t>
        </is>
      </c>
      <c r="B29" s="18" t="n"/>
    </row>
    <row r="30">
      <c r="A30" t="inlineStr">
        <is>
          <t>Level 6 (month 16 on, fully tenured)</t>
        </is>
      </c>
      <c r="B30" s="18" t="n"/>
      <c r="C30" s="2" t="inlineStr">
        <is>
          <t>Level 6 is what a tenured AE books as a share of full quota, so it already holds planned attainment.</t>
        </is>
      </c>
    </row>
    <row r="32">
      <c r="A32" s="20" t="inlineStr">
        <is>
          <t>AEs on day one, by tenure level at the start of year 1</t>
        </is>
      </c>
      <c r="B32" s="21" t="n"/>
      <c r="C32" s="21" t="n"/>
    </row>
    <row r="33">
      <c r="A33" t="inlineStr">
        <is>
          <t>AEs at level 1</t>
        </is>
      </c>
      <c r="B33" s="19" t="n"/>
    </row>
    <row r="34">
      <c r="A34" t="inlineStr">
        <is>
          <t>AEs at level 2</t>
        </is>
      </c>
      <c r="B34" s="19" t="n"/>
    </row>
    <row r="35">
      <c r="A35" t="inlineStr">
        <is>
          <t>AEs at level 3</t>
        </is>
      </c>
      <c r="B35" s="19" t="n"/>
    </row>
    <row r="36">
      <c r="A36" t="inlineStr">
        <is>
          <t>AEs at level 4</t>
        </is>
      </c>
      <c r="B36" s="19" t="n"/>
    </row>
    <row r="37">
      <c r="A37" t="inlineStr">
        <is>
          <t>AEs at level 5</t>
        </is>
      </c>
      <c r="B37" s="19" t="n"/>
    </row>
    <row r="38">
      <c r="A38" t="inlineStr">
        <is>
          <t>AEs at level 6</t>
        </is>
      </c>
      <c r="B38" s="19" t="n"/>
    </row>
    <row r="39">
      <c r="A39" s="7" t="inlineStr">
        <is>
          <t>Total AEs on day one</t>
        </is>
      </c>
      <c r="B39">
        <f>SUM(B33:B38)</f>
        <v/>
      </c>
    </row>
    <row r="41">
      <c r="A41" s="20" t="inlineStr">
        <is>
          <t>AE pay, attrition and hiring</t>
        </is>
      </c>
      <c r="B41" s="21" t="n"/>
      <c r="C41" s="21" t="n"/>
    </row>
    <row r="42">
      <c r="A42" t="inlineStr">
        <is>
          <t>AE annual attrition (all departures)</t>
        </is>
      </c>
      <c r="B42" s="18" t="n"/>
      <c r="C42" s="2" t="inlineStr">
        <is>
          <t>Illustrative. Use your own trailing 12 months</t>
        </is>
      </c>
    </row>
    <row r="43">
      <c r="A43" t="inlineStr">
        <is>
          <t>AE annual base salary</t>
        </is>
      </c>
      <c r="B43" s="17" t="n"/>
      <c r="C43" s="2" t="inlineStr">
        <is>
          <t>Bridge Group: $200K median OTE (2026), 53:47 base to variable (2024)</t>
        </is>
      </c>
    </row>
    <row r="44">
      <c r="A44" t="inlineStr">
        <is>
          <t>AE annual variable pay at target</t>
        </is>
      </c>
      <c r="B44" s="17" t="n"/>
      <c r="C44" s="2" t="inlineStr">
        <is>
          <t>Commission at 100% of quota</t>
        </is>
      </c>
    </row>
    <row r="45">
      <c r="A45" t="inlineStr">
        <is>
          <t>AE recruiting cost per hire</t>
        </is>
      </c>
      <c r="B45" s="17" t="n"/>
      <c r="C45" s="2" t="inlineStr">
        <is>
          <t>Illustrative: agency or recruiter time, ads, travel</t>
        </is>
      </c>
    </row>
    <row r="46">
      <c r="A46" t="inlineStr">
        <is>
          <t>AE time to fill (days, requisition open to start date)</t>
        </is>
      </c>
      <c r="B46" s="19" t="n"/>
      <c r="C46" s="2" t="inlineStr">
        <is>
          <t>Include the notice period</t>
        </is>
      </c>
    </row>
    <row r="48">
      <c r="A48" s="20" t="inlineStr">
        <is>
          <t>Team drivers: one row per team (AEs are planned on AE capacity)</t>
        </is>
      </c>
      <c r="B48" s="21" t="n"/>
      <c r="C48" s="21" t="n"/>
      <c r="D48" s="21" t="n"/>
      <c r="E48" s="21" t="n"/>
      <c r="F48" s="21" t="n"/>
      <c r="G48" s="21" t="n"/>
      <c r="H48" s="21" t="n"/>
      <c r="I48" s="21" t="n"/>
      <c r="J48" s="21" t="n"/>
    </row>
    <row r="49" ht="45" customHeight="1">
      <c r="A49" s="5" t="inlineStr">
        <is>
          <t>Team</t>
        </is>
      </c>
      <c r="B49" s="5" t="inlineStr">
        <is>
          <t>Department</t>
        </is>
      </c>
      <c r="C49" s="5" t="inlineStr">
        <is>
          <t>Driver</t>
        </is>
      </c>
      <c r="D49" s="5" t="inlineStr">
        <is>
          <t>Driver value</t>
        </is>
      </c>
      <c r="E49" s="5" t="inlineStr">
        <is>
          <t>Starting heads</t>
        </is>
      </c>
      <c r="F49" s="5" t="inlineStr">
        <is>
          <t>Annual attrition</t>
        </is>
      </c>
      <c r="G49" s="5" t="inlineStr">
        <is>
          <t>Annual base per head</t>
        </is>
      </c>
      <c r="H49" s="5" t="inlineStr">
        <is>
          <t>Variable at target per head</t>
        </is>
      </c>
      <c r="I49" s="5" t="inlineStr">
        <is>
          <t>Recruiting cost per hire</t>
        </is>
      </c>
      <c r="J49" s="5" t="inlineStr">
        <is>
          <t>Time to fill (days)</t>
        </is>
      </c>
    </row>
    <row r="50">
      <c r="A50" s="15" t="inlineStr">
        <is>
          <t>SDRs</t>
        </is>
      </c>
      <c r="B50" s="15" t="inlineStr">
        <is>
          <t>S&amp;M</t>
        </is>
      </c>
      <c r="C50" s="2" t="inlineStr">
        <is>
          <t>SDRs per AE</t>
        </is>
      </c>
      <c r="D50" s="22" t="n"/>
      <c r="E50" s="19" t="n"/>
      <c r="F50" s="18" t="n"/>
      <c r="G50" s="17" t="n"/>
      <c r="H50" s="17" t="n"/>
      <c r="I50" s="17" t="n"/>
      <c r="J50" s="19" t="n"/>
    </row>
    <row r="51">
      <c r="A51" s="15" t="inlineStr">
        <is>
          <t>Sales managers</t>
        </is>
      </c>
      <c r="B51" s="15" t="inlineStr">
        <is>
          <t>S&amp;M</t>
        </is>
      </c>
      <c r="C51" s="2" t="inlineStr">
        <is>
          <t>AEs per manager</t>
        </is>
      </c>
      <c r="D51" s="22" t="n"/>
      <c r="E51" s="19" t="n"/>
      <c r="F51" s="18" t="n"/>
      <c r="G51" s="17" t="n"/>
      <c r="H51" s="17" t="n"/>
      <c r="I51" s="17" t="n"/>
      <c r="J51" s="19" t="n"/>
    </row>
    <row r="52">
      <c r="A52" s="15" t="inlineStr">
        <is>
          <t>Sales engineers</t>
        </is>
      </c>
      <c r="B52" s="15" t="inlineStr">
        <is>
          <t>S&amp;M</t>
        </is>
      </c>
      <c r="C52" s="2" t="inlineStr">
        <is>
          <t>AEs per sales engineer</t>
        </is>
      </c>
      <c r="D52" s="22" t="n"/>
      <c r="E52" s="19" t="n"/>
      <c r="F52" s="18" t="n"/>
      <c r="G52" s="17" t="n"/>
      <c r="H52" s="17" t="n"/>
      <c r="I52" s="17" t="n"/>
      <c r="J52" s="19" t="n"/>
    </row>
    <row r="53">
      <c r="A53" s="15" t="inlineStr">
        <is>
          <t>Marketing</t>
        </is>
      </c>
      <c r="B53" s="15" t="inlineStr">
        <is>
          <t>S&amp;M</t>
        </is>
      </c>
      <c r="C53" s="2" t="inlineStr">
        <is>
          <t>Marketers per AE</t>
        </is>
      </c>
      <c r="D53" s="22" t="n"/>
      <c r="E53" s="19" t="n"/>
      <c r="F53" s="18" t="n"/>
      <c r="G53" s="17" t="n"/>
      <c r="H53" s="17" t="n"/>
      <c r="I53" s="17" t="n"/>
      <c r="J53" s="19" t="n"/>
    </row>
    <row r="54">
      <c r="A54" s="15" t="inlineStr">
        <is>
          <t>Customer success managers</t>
        </is>
      </c>
      <c r="B54" s="15" t="inlineStr">
        <is>
          <t>S&amp;M</t>
        </is>
      </c>
      <c r="C54" s="2" t="inlineStr">
        <is>
          <t>Ending ARR per CSM ($)</t>
        </is>
      </c>
      <c r="D54" s="17" t="n"/>
      <c r="E54" s="19" t="n"/>
      <c r="F54" s="18" t="n"/>
      <c r="G54" s="17" t="n"/>
      <c r="H54" s="17" t="n"/>
      <c r="I54" s="17" t="n"/>
      <c r="J54" s="19" t="n"/>
    </row>
    <row r="55">
      <c r="A55" s="15" t="inlineStr">
        <is>
          <t>Support</t>
        </is>
      </c>
      <c r="B55" s="15" t="inlineStr">
        <is>
          <t>COGS</t>
        </is>
      </c>
      <c r="C55" s="2" t="inlineStr">
        <is>
          <t>Ending ARR per support head ($)</t>
        </is>
      </c>
      <c r="D55" s="17" t="n"/>
      <c r="E55" s="19" t="n"/>
      <c r="F55" s="18" t="n"/>
      <c r="G55" s="17" t="n"/>
      <c r="H55" s="17" t="n"/>
      <c r="I55" s="17" t="n"/>
      <c r="J55" s="19" t="n"/>
    </row>
    <row r="56">
      <c r="A56" s="15" t="inlineStr">
        <is>
          <t>Revenue operations</t>
        </is>
      </c>
      <c r="B56" s="15" t="inlineStr">
        <is>
          <t>S&amp;M</t>
        </is>
      </c>
      <c r="C56" s="2" t="inlineStr">
        <is>
          <t>Go-to-market heads per RevOps head</t>
        </is>
      </c>
      <c r="D56" s="22" t="n"/>
      <c r="E56" s="19" t="n"/>
      <c r="F56" s="18" t="n"/>
      <c r="G56" s="17" t="n"/>
      <c r="H56" s="17" t="n"/>
      <c r="I56" s="17" t="n"/>
      <c r="J56" s="19" t="n"/>
    </row>
    <row r="57">
      <c r="A57" s="15" t="inlineStr">
        <is>
          <t>R&amp;D (engineering, product, design)</t>
        </is>
      </c>
      <c r="B57" s="15" t="inlineStr">
        <is>
          <t>R&amp;D</t>
        </is>
      </c>
      <c r="C57" s="2" t="inlineStr">
        <is>
          <t>Manual: type required heads on Teams</t>
        </is>
      </c>
      <c r="D57" s="23" t="n"/>
      <c r="E57" s="19" t="n"/>
      <c r="F57" s="18" t="n"/>
      <c r="G57" s="17" t="n"/>
      <c r="H57" s="17" t="n"/>
      <c r="I57" s="17" t="n"/>
      <c r="J57" s="19" t="n"/>
    </row>
    <row r="58">
      <c r="A58" s="15" t="inlineStr">
        <is>
          <t>G&amp;A (finance, people, legal, IT)</t>
        </is>
      </c>
      <c r="B58" s="15" t="inlineStr">
        <is>
          <t>G&amp;A</t>
        </is>
      </c>
      <c r="C58" s="2" t="inlineStr">
        <is>
          <t>Employees per G&amp;A head</t>
        </is>
      </c>
      <c r="D58" s="22" t="n"/>
      <c r="E58" s="19" t="n"/>
      <c r="F58" s="18" t="n"/>
      <c r="G58" s="17" t="n"/>
      <c r="H58" s="17" t="n"/>
      <c r="I58" s="17" t="n"/>
      <c r="J58" s="19" t="n"/>
    </row>
    <row r="59">
      <c r="A59" s="15" t="inlineStr">
        <is>
          <t>Other team A</t>
        </is>
      </c>
      <c r="B59" s="15" t="n"/>
      <c r="C59" s="2" t="inlineStr">
        <is>
          <t>Manual: type required heads on Teams</t>
        </is>
      </c>
      <c r="D59" s="23" t="n"/>
      <c r="E59" s="19" t="n"/>
      <c r="F59" s="18" t="n"/>
      <c r="G59" s="17" t="n"/>
      <c r="H59" s="17" t="n"/>
      <c r="I59" s="17" t="n"/>
      <c r="J59" s="19" t="n"/>
    </row>
    <row r="60">
      <c r="A60" s="15" t="inlineStr">
        <is>
          <t>Other team B</t>
        </is>
      </c>
      <c r="B60" s="15" t="n"/>
      <c r="C60" s="2" t="inlineStr">
        <is>
          <t>Manual: type required heads on Teams</t>
        </is>
      </c>
      <c r="D60" s="23" t="n"/>
      <c r="E60" s="19" t="n"/>
      <c r="F60" s="18" t="n"/>
      <c r="G60" s="17" t="n"/>
      <c r="H60" s="17" t="n"/>
      <c r="I60" s="17" t="n"/>
      <c r="J60" s="19" t="n"/>
    </row>
    <row r="61">
      <c r="A61" s="2" t="inlineStr">
        <is>
          <t>Driver formulas: SDRs and marketing = AEs x value; managers and SEs = AEs / value; CSMs and support = ending ARR / value; RevOps = go-to-market heads / value; G&amp;A = all other heads / value; Manual = starting heads unless you type an Override on Teams. Team names can change; the driver formula stays with the row.</t>
        </is>
      </c>
    </row>
    <row r="63">
      <c r="A63" s="20" t="inlineStr">
        <is>
          <t>Reference (not inputs)</t>
        </is>
      </c>
      <c r="B63" s="21" t="n"/>
      <c r="C63" s="21" t="n"/>
    </row>
    <row r="64">
      <c r="A64" t="inlineStr">
        <is>
          <t>Sales and marketing, % of revenue, median</t>
        </is>
      </c>
      <c r="B64" s="24" t="n">
        <v>0.37</v>
      </c>
      <c r="C64" s="2" t="inlineStr">
        <is>
          <t>Benchmarkit 2025, https://www.benchmarkit.ai/2025benchmarks</t>
        </is>
      </c>
    </row>
    <row r="65">
      <c r="A65" t="inlineStr">
        <is>
          <t>Research and development, % of revenue, median</t>
        </is>
      </c>
      <c r="B65" s="24" t="n">
        <v>0.34</v>
      </c>
      <c r="C65" s="2" t="inlineStr">
        <is>
          <t>Benchmarkit 2025</t>
        </is>
      </c>
    </row>
    <row r="66">
      <c r="A66" t="inlineStr">
        <is>
          <t>General and administrative, % of revenue, median</t>
        </is>
      </c>
      <c r="B66" s="24" t="n">
        <v>0.24</v>
      </c>
      <c r="C66" s="2" t="inlineStr">
        <is>
          <t>Benchmarkit 2025</t>
        </is>
      </c>
    </row>
    <row r="67">
      <c r="A67" t="inlineStr">
        <is>
          <t>ARR per FTE, companies at $50M to $100M ARR</t>
        </is>
      </c>
      <c r="B67" s="25" t="n">
        <v>200000</v>
      </c>
      <c r="C67" s="2" t="inlineStr">
        <is>
          <t>Benchmarkit 2025</t>
        </is>
      </c>
    </row>
    <row r="68">
      <c r="A68" t="inlineStr">
        <is>
          <t>ARR per FTE, companies above $100M ARR</t>
        </is>
      </c>
      <c r="B68" s="25" t="n">
        <v>300000</v>
      </c>
      <c r="C68" s="2" t="inlineStr">
        <is>
          <t>Benchmarkit 2025</t>
        </is>
      </c>
    </row>
    <row r="69">
      <c r="A69" t="inlineStr">
        <is>
          <t>Payroll load derivation, private industry, June 2026</t>
        </is>
      </c>
      <c r="B69" s="26" t="n">
        <v>0.238</v>
      </c>
      <c r="C69" s="2" t="inlineStr">
        <is>
          <t>BLS ECEC: insurance $3.69 + retirement $1.57 + legally required $3.40 per hour, over wages $32.82 + paid leave $3.54 (a salary already pays for leave). https://www.bls.gov/news.release/ecec.t01.htm</t>
        </is>
      </c>
    </row>
    <row r="70">
      <c r="A70" t="inlineStr">
        <is>
          <t>Median SaaS AE ramp time reported by sales leaders</t>
        </is>
      </c>
      <c r="B70" s="23" t="inlineStr">
        <is>
          <t>6.2 months</t>
        </is>
      </c>
      <c r="C70" s="2" t="inlineStr">
        <is>
          <t>Bridge Group 2026 (158 B2B companies). ORM's measured curves take 15 to 18 months to full productivity</t>
        </is>
      </c>
    </row>
  </sheetData>
  <dataValidations count="2">
    <dataValidation sqref="B12" showDropDown="0" showInputMessage="0" showErrorMessage="0" allowBlank="1" type="whole" operator="between">
      <formula1>0</formula1>
      <formula2>4</formula2>
    </dataValidation>
    <dataValidation sqref="B50:B60" showDropDown="0" showInputMessage="0" showErrorMessage="0" allowBlank="1" type="list">
      <formula1>"COGS,S&amp;M,R&amp;D,G&amp;A"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3"/>
  <sheetViews>
    <sheetView workbookViewId="0">
      <pane xSplit="1" ySplit="13" topLeftCell="B14"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ARR target: the two-year target and the quarterly ARR bridge that drives headcount</t>
        </is>
      </c>
    </row>
    <row r="2">
      <c r="A2" s="2" t="inlineStr">
        <is>
          <t>Blank template: same formulas, no company numbers. Yellow cells are inputs. Everything else is a formula.</t>
        </is>
      </c>
    </row>
    <row r="3">
      <c r="B3" s="27" t="n">
        <v>1</v>
      </c>
      <c r="C3" s="27" t="n">
        <v>2</v>
      </c>
      <c r="D3" s="27" t="n">
        <v>3</v>
      </c>
      <c r="E3" s="27" t="n">
        <v>4</v>
      </c>
      <c r="F3" s="27" t="n">
        <v>5</v>
      </c>
      <c r="G3" s="27" t="n">
        <v>6</v>
      </c>
      <c r="H3" s="27" t="n">
        <v>7</v>
      </c>
      <c r="I3" s="27" t="n">
        <v>8</v>
      </c>
    </row>
    <row r="4">
      <c r="A4" s="5" t="inlineStr">
        <is>
          <t>Target by year</t>
        </is>
      </c>
      <c r="B4" s="5" t="inlineStr">
        <is>
          <t>Year 1</t>
        </is>
      </c>
      <c r="C4" s="5" t="inlineStr">
        <is>
          <t>Year 2</t>
        </is>
      </c>
    </row>
    <row r="5">
      <c r="A5" t="inlineStr">
        <is>
          <t>Starting ARR</t>
        </is>
      </c>
      <c r="B5" s="6">
        <f>Assumptions!B6</f>
        <v/>
      </c>
      <c r="C5" s="6">
        <f>B7</f>
        <v/>
      </c>
    </row>
    <row r="6">
      <c r="A6" t="inlineStr">
        <is>
          <t>ARR growth target</t>
        </is>
      </c>
      <c r="B6" s="13">
        <f>Assumptions!B7</f>
        <v/>
      </c>
      <c r="C6" s="13">
        <f>Assumptions!B8</f>
        <v/>
      </c>
    </row>
    <row r="7">
      <c r="A7" t="inlineStr">
        <is>
          <t>Target ending ARR</t>
        </is>
      </c>
      <c r="B7" s="6">
        <f>B5*(1+B6)</f>
        <v/>
      </c>
      <c r="C7" s="6">
        <f>C5*(1+C6)</f>
        <v/>
      </c>
    </row>
    <row r="8">
      <c r="A8" t="inlineStr">
        <is>
          <t>Churn and contraction</t>
        </is>
      </c>
      <c r="B8" s="6">
        <f>B5*(1-Assumptions!$B$9)</f>
        <v/>
      </c>
      <c r="C8" s="6">
        <f>C5*(1-Assumptions!$B$9)</f>
        <v/>
      </c>
    </row>
    <row r="9">
      <c r="A9" t="inlineStr">
        <is>
          <t>Expansion</t>
        </is>
      </c>
      <c r="B9" s="6">
        <f>B5*(Assumptions!$B$10-Assumptions!$B$9)</f>
        <v/>
      </c>
      <c r="C9" s="6">
        <f>C5*(Assumptions!$B$10-Assumptions!$B$9)</f>
        <v/>
      </c>
    </row>
    <row r="10">
      <c r="A10" s="7" t="inlineStr">
        <is>
          <t>New-logo ARR needed</t>
        </is>
      </c>
      <c r="B10" s="8">
        <f>B7-B5+B8-B9</f>
        <v/>
      </c>
      <c r="C10" s="8">
        <f>C7-C5+C8-C9</f>
        <v/>
      </c>
    </row>
    <row r="13">
      <c r="A13" s="5" t="inlineStr">
        <is>
          <t>ARR bridge</t>
        </is>
      </c>
      <c r="B13" s="5" t="inlineStr">
        <is>
          <t>Y1 Q1</t>
        </is>
      </c>
      <c r="C13" s="5" t="inlineStr">
        <is>
          <t>Y1 Q2</t>
        </is>
      </c>
      <c r="D13" s="5" t="inlineStr">
        <is>
          <t>Y1 Q3</t>
        </is>
      </c>
      <c r="E13" s="5" t="inlineStr">
        <is>
          <t>Y1 Q4</t>
        </is>
      </c>
      <c r="F13" s="5" t="inlineStr">
        <is>
          <t>Y2 Q1</t>
        </is>
      </c>
      <c r="G13" s="5" t="inlineStr">
        <is>
          <t>Y2 Q2</t>
        </is>
      </c>
      <c r="H13" s="5" t="inlineStr">
        <is>
          <t>Y2 Q3</t>
        </is>
      </c>
      <c r="I13" s="5" t="inlineStr">
        <is>
          <t>Y2 Q4</t>
        </is>
      </c>
      <c r="J13" s="5" t="inlineStr">
        <is>
          <t>Year 1</t>
        </is>
      </c>
      <c r="K13" s="5" t="inlineStr">
        <is>
          <t>Year 2</t>
        </is>
      </c>
    </row>
    <row r="14">
      <c r="A14" t="inlineStr">
        <is>
          <t>Starting ARR</t>
        </is>
      </c>
      <c r="B14" s="6">
        <f>$B$5</f>
        <v/>
      </c>
      <c r="C14" s="6">
        <f>B18</f>
        <v/>
      </c>
      <c r="D14" s="6">
        <f>C18</f>
        <v/>
      </c>
      <c r="E14" s="6">
        <f>D18</f>
        <v/>
      </c>
      <c r="F14" s="6">
        <f>E18</f>
        <v/>
      </c>
      <c r="G14" s="6">
        <f>F18</f>
        <v/>
      </c>
      <c r="H14" s="6">
        <f>G18</f>
        <v/>
      </c>
      <c r="I14" s="6">
        <f>H18</f>
        <v/>
      </c>
      <c r="J14" s="6">
        <f>B14</f>
        <v/>
      </c>
      <c r="K14" s="6">
        <f>F14</f>
        <v/>
      </c>
    </row>
    <row r="15">
      <c r="A15" t="inlineStr">
        <is>
          <t>New-logo ARR</t>
        </is>
      </c>
      <c r="B15" s="6">
        <f>B$10*Assumptions!$B$18</f>
        <v/>
      </c>
      <c r="C15" s="6">
        <f>B$10*Assumptions!$B$19</f>
        <v/>
      </c>
      <c r="D15" s="6">
        <f>B$10*Assumptions!$B$20</f>
        <v/>
      </c>
      <c r="E15" s="6">
        <f>B$10*Assumptions!$B$21</f>
        <v/>
      </c>
      <c r="F15" s="6">
        <f>C$10*Assumptions!$B$18</f>
        <v/>
      </c>
      <c r="G15" s="6">
        <f>C$10*Assumptions!$B$19</f>
        <v/>
      </c>
      <c r="H15" s="6">
        <f>C$10*Assumptions!$B$20</f>
        <v/>
      </c>
      <c r="I15" s="6">
        <f>C$10*Assumptions!$B$21</f>
        <v/>
      </c>
      <c r="J15" s="6">
        <f>SUM(B15:E15)</f>
        <v/>
      </c>
      <c r="K15" s="6">
        <f>SUM(F15:I15)</f>
        <v/>
      </c>
    </row>
    <row r="16">
      <c r="A16" t="inlineStr">
        <is>
          <t>Expansion ARR</t>
        </is>
      </c>
      <c r="B16" s="6">
        <f>B$9/4</f>
        <v/>
      </c>
      <c r="C16" s="6">
        <f>B$9/4</f>
        <v/>
      </c>
      <c r="D16" s="6">
        <f>B$9/4</f>
        <v/>
      </c>
      <c r="E16" s="6">
        <f>B$9/4</f>
        <v/>
      </c>
      <c r="F16" s="6">
        <f>C$9/4</f>
        <v/>
      </c>
      <c r="G16" s="6">
        <f>C$9/4</f>
        <v/>
      </c>
      <c r="H16" s="6">
        <f>C$9/4</f>
        <v/>
      </c>
      <c r="I16" s="6">
        <f>C$9/4</f>
        <v/>
      </c>
      <c r="J16" s="6">
        <f>SUM(B16:E16)</f>
        <v/>
      </c>
      <c r="K16" s="6">
        <f>SUM(F16:I16)</f>
        <v/>
      </c>
    </row>
    <row r="17">
      <c r="A17" t="inlineStr">
        <is>
          <t>Churn and contraction</t>
        </is>
      </c>
      <c r="B17" s="6">
        <f>-B$8/4</f>
        <v/>
      </c>
      <c r="C17" s="6">
        <f>-B$8/4</f>
        <v/>
      </c>
      <c r="D17" s="6">
        <f>-B$8/4</f>
        <v/>
      </c>
      <c r="E17" s="6">
        <f>-B$8/4</f>
        <v/>
      </c>
      <c r="F17" s="6">
        <f>-C$8/4</f>
        <v/>
      </c>
      <c r="G17" s="6">
        <f>-C$8/4</f>
        <v/>
      </c>
      <c r="H17" s="6">
        <f>-C$8/4</f>
        <v/>
      </c>
      <c r="I17" s="6">
        <f>-C$8/4</f>
        <v/>
      </c>
      <c r="J17" s="6">
        <f>SUM(B17:E17)</f>
        <v/>
      </c>
      <c r="K17" s="6">
        <f>SUM(F17:I17)</f>
        <v/>
      </c>
    </row>
    <row r="18">
      <c r="A18" s="28" t="inlineStr">
        <is>
          <t>Ending ARR</t>
        </is>
      </c>
      <c r="B18" s="29">
        <f>SUM(B14:B17)</f>
        <v/>
      </c>
      <c r="C18" s="29">
        <f>SUM(C14:C17)</f>
        <v/>
      </c>
      <c r="D18" s="29">
        <f>SUM(D14:D17)</f>
        <v/>
      </c>
      <c r="E18" s="29">
        <f>SUM(E14:E17)</f>
        <v/>
      </c>
      <c r="F18" s="29">
        <f>SUM(F14:F17)</f>
        <v/>
      </c>
      <c r="G18" s="29">
        <f>SUM(G14:G17)</f>
        <v/>
      </c>
      <c r="H18" s="29">
        <f>SUM(H14:H17)</f>
        <v/>
      </c>
      <c r="I18" s="29">
        <f>SUM(I14:I17)</f>
        <v/>
      </c>
      <c r="J18" s="29">
        <f>E18</f>
        <v/>
      </c>
      <c r="K18" s="29">
        <f>I18</f>
        <v/>
      </c>
    </row>
    <row r="19">
      <c r="A19" t="inlineStr">
        <is>
          <t>Net new ARR</t>
        </is>
      </c>
      <c r="B19" s="6">
        <f>B18-B14</f>
        <v/>
      </c>
      <c r="C19" s="6">
        <f>C18-C14</f>
        <v/>
      </c>
      <c r="D19" s="6">
        <f>D18-D14</f>
        <v/>
      </c>
      <c r="E19" s="6">
        <f>E18-E14</f>
        <v/>
      </c>
      <c r="F19" s="6">
        <f>F18-F14</f>
        <v/>
      </c>
      <c r="G19" s="6">
        <f>G18-G14</f>
        <v/>
      </c>
      <c r="H19" s="6">
        <f>H18-H14</f>
        <v/>
      </c>
      <c r="I19" s="6">
        <f>I18-I14</f>
        <v/>
      </c>
      <c r="J19" s="6">
        <f>SUM(B19:E19)</f>
        <v/>
      </c>
      <c r="K19" s="6">
        <f>SUM(F19:I19)</f>
        <v/>
      </c>
    </row>
    <row r="20">
      <c r="A20" t="inlineStr">
        <is>
          <t>Subscription revenue</t>
        </is>
      </c>
      <c r="B20" s="6">
        <f>(B14+B18)/2/4</f>
        <v/>
      </c>
      <c r="C20" s="6">
        <f>(C14+C18)/2/4</f>
        <v/>
      </c>
      <c r="D20" s="6">
        <f>(D14+D18)/2/4</f>
        <v/>
      </c>
      <c r="E20" s="6">
        <f>(E14+E18)/2/4</f>
        <v/>
      </c>
      <c r="F20" s="6">
        <f>(F14+F18)/2/4</f>
        <v/>
      </c>
      <c r="G20" s="6">
        <f>(G14+G18)/2/4</f>
        <v/>
      </c>
      <c r="H20" s="6">
        <f>(H14+H18)/2/4</f>
        <v/>
      </c>
      <c r="I20" s="6">
        <f>(I14+I18)/2/4</f>
        <v/>
      </c>
      <c r="J20" s="6">
        <f>SUM(B20:E20)</f>
        <v/>
      </c>
      <c r="K20" s="6">
        <f>SUM(F20:I20)</f>
        <v/>
      </c>
    </row>
    <row r="21">
      <c r="A21" t="inlineStr">
        <is>
          <t>Quarter starts</t>
        </is>
      </c>
      <c r="B21" s="30">
        <f>IF(Assumptions!$B$5="","",DATE(YEAR(Assumptions!$B$5),MONTH(Assumptions!$B$5)+3*(B$3-1),DAY(Assumptions!$B$5)))</f>
        <v/>
      </c>
      <c r="C21" s="30">
        <f>IF(Assumptions!$B$5="","",DATE(YEAR(Assumptions!$B$5),MONTH(Assumptions!$B$5)+3*(C$3-1),DAY(Assumptions!$B$5)))</f>
        <v/>
      </c>
      <c r="D21" s="30">
        <f>IF(Assumptions!$B$5="","",DATE(YEAR(Assumptions!$B$5),MONTH(Assumptions!$B$5)+3*(D$3-1),DAY(Assumptions!$B$5)))</f>
        <v/>
      </c>
      <c r="E21" s="30">
        <f>IF(Assumptions!$B$5="","",DATE(YEAR(Assumptions!$B$5),MONTH(Assumptions!$B$5)+3*(E$3-1),DAY(Assumptions!$B$5)))</f>
        <v/>
      </c>
      <c r="F21" s="30">
        <f>IF(Assumptions!$B$5="","",DATE(YEAR(Assumptions!$B$5),MONTH(Assumptions!$B$5)+3*(F$3-1),DAY(Assumptions!$B$5)))</f>
        <v/>
      </c>
      <c r="G21" s="30">
        <f>IF(Assumptions!$B$5="","",DATE(YEAR(Assumptions!$B$5),MONTH(Assumptions!$B$5)+3*(G$3-1),DAY(Assumptions!$B$5)))</f>
        <v/>
      </c>
      <c r="H21" s="30">
        <f>IF(Assumptions!$B$5="","",DATE(YEAR(Assumptions!$B$5),MONTH(Assumptions!$B$5)+3*(H$3-1),DAY(Assumptions!$B$5)))</f>
        <v/>
      </c>
      <c r="I21" s="30">
        <f>IF(Assumptions!$B$5="","",DATE(YEAR(Assumptions!$B$5),MONTH(Assumptions!$B$5)+3*(I$3-1),DAY(Assumptions!$B$5)))</f>
        <v/>
      </c>
    </row>
    <row r="23">
      <c r="A23" s="2" t="inlineStr">
        <is>
          <t>Expansion and churn are applied to each year's starting ARR and spread evenly. Subscription revenue assumes bookings land evenly inside each quarter. CSM and support headcount follow ending ARR.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0"/>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AE capacity: the new-logo ARR target, what the AE team can book after ramp and attrition, and the hires that close the gap</t>
        </is>
      </c>
    </row>
    <row r="2">
      <c r="A2" s="2" t="inlineStr">
        <is>
          <t>Blank template: same formulas, no company numbers. Yellow cells are inputs. Everything else is a formula.</t>
        </is>
      </c>
    </row>
    <row r="3">
      <c r="C3" s="27" t="n">
        <v>1</v>
      </c>
      <c r="D3" s="27" t="n">
        <v>2</v>
      </c>
      <c r="E3" s="27" t="n">
        <v>3</v>
      </c>
      <c r="F3" s="27" t="n">
        <v>4</v>
      </c>
      <c r="G3" s="27" t="n">
        <v>5</v>
      </c>
      <c r="H3" s="27" t="n">
        <v>6</v>
      </c>
      <c r="I3" s="27" t="n">
        <v>7</v>
      </c>
      <c r="J3" s="27" t="n">
        <v>8</v>
      </c>
      <c r="K3" s="27" t="n">
        <v>9</v>
      </c>
      <c r="L3" s="27" t="n">
        <v>10</v>
      </c>
      <c r="M3" s="27" t="n">
        <v>11</v>
      </c>
      <c r="N3" s="27" t="n">
        <v>12</v>
      </c>
    </row>
    <row r="4">
      <c r="C4" s="27" t="n">
        <v>1</v>
      </c>
      <c r="D4" s="27" t="n">
        <v>2</v>
      </c>
      <c r="E4" s="27" t="n">
        <v>3</v>
      </c>
      <c r="F4" s="27" t="n">
        <v>4</v>
      </c>
      <c r="G4" s="27" t="n">
        <v>1</v>
      </c>
      <c r="H4" s="27" t="n">
        <v>2</v>
      </c>
      <c r="I4" s="27" t="n">
        <v>3</v>
      </c>
      <c r="J4" s="27" t="n">
        <v>4</v>
      </c>
      <c r="K4" s="27" t="n">
        <v>1</v>
      </c>
      <c r="L4" s="27" t="n">
        <v>2</v>
      </c>
      <c r="M4" s="27" t="n">
        <v>3</v>
      </c>
      <c r="N4" s="27" t="n">
        <v>4</v>
      </c>
    </row>
    <row r="5">
      <c r="A5" s="20" t="inlineStr">
        <is>
          <t>Constants</t>
        </is>
      </c>
      <c r="B5" s="21" t="n"/>
      <c r="C5" s="21" t="n"/>
      <c r="D5" s="21" t="n"/>
      <c r="E5" s="21" t="n"/>
      <c r="F5" s="21" t="n"/>
      <c r="G5" s="21" t="n"/>
      <c r="H5" s="21" t="n"/>
      <c r="I5" s="21" t="n"/>
      <c r="J5" s="21" t="n"/>
      <c r="K5" s="21" t="n"/>
      <c r="L5" s="21" t="n"/>
      <c r="M5" s="21" t="n"/>
      <c r="N5" s="21" t="n"/>
      <c r="O5" s="21" t="n"/>
      <c r="P5" s="21" t="n"/>
    </row>
    <row r="6">
      <c r="A6" t="inlineStr">
        <is>
          <t>Quarterly AE retention = (1 - annual attrition) ^ (1/4)</t>
        </is>
      </c>
      <c r="B6" s="31">
        <f>IFERROR((1-N(Assumptions!B42))^(1/4),1)</f>
        <v/>
      </c>
    </row>
    <row r="7">
      <c r="A7" t="inlineStr">
        <is>
          <t>Hire lead (quarters)</t>
        </is>
      </c>
      <c r="B7">
        <f>IF(Assumptions!B12="",0,MIN(4,MAX(0,ROUND(Assumptions!B12,0))))</f>
        <v/>
      </c>
    </row>
    <row r="8">
      <c r="A8" t="inlineStr">
        <is>
          <t>What one hire delivers by then (full-quota AE equivalents)</t>
        </is>
      </c>
      <c r="B8" s="32">
        <f>B6^B7*INDEX(Assumptions!$B$25:$B$30,MIN(6,B7+1))</f>
        <v/>
      </c>
    </row>
    <row r="10" ht="30" customHeight="1">
      <c r="A10" s="5" t="inlineStr">
        <is>
          <t>Need</t>
        </is>
      </c>
      <c r="B10" s="5" t="inlineStr"/>
      <c r="C10" s="5" t="inlineStr">
        <is>
          <t>Y1 Q1</t>
        </is>
      </c>
      <c r="D10" s="5" t="inlineStr">
        <is>
          <t>Y1 Q2</t>
        </is>
      </c>
      <c r="E10" s="5" t="inlineStr">
        <is>
          <t>Y1 Q3</t>
        </is>
      </c>
      <c r="F10" s="5" t="inlineStr">
        <is>
          <t>Y1 Q4</t>
        </is>
      </c>
      <c r="G10" s="5" t="inlineStr">
        <is>
          <t>Y2 Q1</t>
        </is>
      </c>
      <c r="H10" s="5" t="inlineStr">
        <is>
          <t>Y2 Q2</t>
        </is>
      </c>
      <c r="I10" s="5" t="inlineStr">
        <is>
          <t>Y2 Q3</t>
        </is>
      </c>
      <c r="J10" s="5" t="inlineStr">
        <is>
          <t>Y2 Q4</t>
        </is>
      </c>
      <c r="K10" s="5" t="inlineStr">
        <is>
          <t>Y3 Q1 (held flat)</t>
        </is>
      </c>
      <c r="L10" s="5" t="inlineStr">
        <is>
          <t>Y3 Q2 (held flat)</t>
        </is>
      </c>
      <c r="M10" s="5" t="inlineStr">
        <is>
          <t>Y3 Q3 (held flat)</t>
        </is>
      </c>
      <c r="N10" s="5" t="inlineStr">
        <is>
          <t>Y3 Q4 (held flat)</t>
        </is>
      </c>
      <c r="O10" s="5" t="inlineStr">
        <is>
          <t>Year 1</t>
        </is>
      </c>
      <c r="P10" s="5" t="inlineStr">
        <is>
          <t>Year 2</t>
        </is>
      </c>
    </row>
    <row r="11">
      <c r="A11" t="inlineStr">
        <is>
          <t>New-logo ARR target</t>
        </is>
      </c>
      <c r="C11" s="6">
        <f>'ARR target'!B15</f>
        <v/>
      </c>
      <c r="D11" s="6">
        <f>'ARR target'!C15</f>
        <v/>
      </c>
      <c r="E11" s="6">
        <f>'ARR target'!D15</f>
        <v/>
      </c>
      <c r="F11" s="6">
        <f>'ARR target'!E15</f>
        <v/>
      </c>
      <c r="G11" s="6">
        <f>'ARR target'!F15</f>
        <v/>
      </c>
      <c r="H11" s="6">
        <f>'ARR target'!G15</f>
        <v/>
      </c>
      <c r="I11" s="6">
        <f>'ARR target'!H15</f>
        <v/>
      </c>
      <c r="J11" s="6">
        <f>'ARR target'!I15</f>
        <v/>
      </c>
      <c r="O11" s="6">
        <f>SUM(C11:F11)</f>
        <v/>
      </c>
      <c r="P11" s="6">
        <f>SUM(G11:J11)</f>
        <v/>
      </c>
    </row>
    <row r="12">
      <c r="A12" t="inlineStr">
        <is>
          <t>Full quota per AE in the quarter</t>
        </is>
      </c>
      <c r="C12" s="6">
        <f>N(Assumptions!$B$11)*INDEX(Assumptions!$B$18:$B$21,C$4)</f>
        <v/>
      </c>
      <c r="D12" s="6">
        <f>N(Assumptions!$B$11)*INDEX(Assumptions!$B$18:$B$21,D$4)</f>
        <v/>
      </c>
      <c r="E12" s="6">
        <f>N(Assumptions!$B$11)*INDEX(Assumptions!$B$18:$B$21,E$4)</f>
        <v/>
      </c>
      <c r="F12" s="6">
        <f>N(Assumptions!$B$11)*INDEX(Assumptions!$B$18:$B$21,F$4)</f>
        <v/>
      </c>
      <c r="G12" s="6">
        <f>N(Assumptions!$B$11)*INDEX(Assumptions!$B$18:$B$21,G$4)</f>
        <v/>
      </c>
      <c r="H12" s="6">
        <f>N(Assumptions!$B$11)*INDEX(Assumptions!$B$18:$B$21,H$4)</f>
        <v/>
      </c>
      <c r="I12" s="6">
        <f>N(Assumptions!$B$11)*INDEX(Assumptions!$B$18:$B$21,I$4)</f>
        <v/>
      </c>
      <c r="J12" s="6">
        <f>N(Assumptions!$B$11)*INDEX(Assumptions!$B$18:$B$21,J$4)</f>
        <v/>
      </c>
    </row>
    <row r="13">
      <c r="A13" t="inlineStr">
        <is>
          <t>Capacity needed (full-quota AE equivalents)</t>
        </is>
      </c>
      <c r="C13" s="33">
        <f>IFERROR(C11/C12,0)</f>
        <v/>
      </c>
      <c r="D13" s="33">
        <f>IFERROR(D11/D12,0)</f>
        <v/>
      </c>
      <c r="E13" s="33">
        <f>IFERROR(E11/E12,0)</f>
        <v/>
      </c>
      <c r="F13" s="33">
        <f>IFERROR(F11/F12,0)</f>
        <v/>
      </c>
      <c r="G13" s="33">
        <f>IFERROR(G11/G12,0)</f>
        <v/>
      </c>
      <c r="H13" s="33">
        <f>IFERROR(H11/H12,0)</f>
        <v/>
      </c>
      <c r="I13" s="33">
        <f>IFERROR(I11/I12,0)</f>
        <v/>
      </c>
      <c r="J13" s="33">
        <f>IFERROR(J11/J12,0)</f>
        <v/>
      </c>
      <c r="K13" s="33">
        <f>$J$13</f>
        <v/>
      </c>
      <c r="L13" s="33">
        <f>$J$13</f>
        <v/>
      </c>
      <c r="M13" s="33">
        <f>$J$13</f>
        <v/>
      </c>
      <c r="N13" s="33">
        <f>$J$13</f>
        <v/>
      </c>
    </row>
    <row r="15">
      <c r="A15" s="20" t="inlineStr">
        <is>
          <t>AEs on day one: capacity in full-quota AE equivalents (column B = count at the start of year 1)</t>
        </is>
      </c>
      <c r="B15" s="21" t="n"/>
      <c r="C15" s="21" t="n"/>
      <c r="D15" s="21" t="n"/>
      <c r="E15" s="21" t="n"/>
      <c r="F15" s="21" t="n"/>
      <c r="G15" s="21" t="n"/>
      <c r="H15" s="21" t="n"/>
      <c r="I15" s="21" t="n"/>
      <c r="J15" s="21" t="n"/>
      <c r="K15" s="21" t="n"/>
      <c r="L15" s="21" t="n"/>
      <c r="M15" s="21" t="n"/>
      <c r="N15" s="21" t="n"/>
      <c r="O15" s="21" t="n"/>
      <c r="P15" s="21" t="n"/>
    </row>
    <row r="16">
      <c r="A16" t="inlineStr">
        <is>
          <t>Day-one AEs at level 1</t>
        </is>
      </c>
      <c r="B16">
        <f>N(Assumptions!B33)</f>
        <v/>
      </c>
      <c r="C16" s="33">
        <f>$B16*$B$6^(C$3-1)*INDEX(Assumptions!$B$25:$B$30,MIN(6,1+C$3-1))</f>
        <v/>
      </c>
      <c r="D16" s="33">
        <f>$B16*$B$6^(D$3-1)*INDEX(Assumptions!$B$25:$B$30,MIN(6,1+D$3-1))</f>
        <v/>
      </c>
      <c r="E16" s="33">
        <f>$B16*$B$6^(E$3-1)*INDEX(Assumptions!$B$25:$B$30,MIN(6,1+E$3-1))</f>
        <v/>
      </c>
      <c r="F16" s="33">
        <f>$B16*$B$6^(F$3-1)*INDEX(Assumptions!$B$25:$B$30,MIN(6,1+F$3-1))</f>
        <v/>
      </c>
      <c r="G16" s="33">
        <f>$B16*$B$6^(G$3-1)*INDEX(Assumptions!$B$25:$B$30,MIN(6,1+G$3-1))</f>
        <v/>
      </c>
      <c r="H16" s="33">
        <f>$B16*$B$6^(H$3-1)*INDEX(Assumptions!$B$25:$B$30,MIN(6,1+H$3-1))</f>
        <v/>
      </c>
      <c r="I16" s="33">
        <f>$B16*$B$6^(I$3-1)*INDEX(Assumptions!$B$25:$B$30,MIN(6,1+I$3-1))</f>
        <v/>
      </c>
      <c r="J16" s="33">
        <f>$B16*$B$6^(J$3-1)*INDEX(Assumptions!$B$25:$B$30,MIN(6,1+J$3-1))</f>
        <v/>
      </c>
      <c r="K16" s="33">
        <f>$B16*$B$6^(K$3-1)*INDEX(Assumptions!$B$25:$B$30,MIN(6,1+K$3-1))</f>
        <v/>
      </c>
      <c r="L16" s="33">
        <f>$B16*$B$6^(L$3-1)*INDEX(Assumptions!$B$25:$B$30,MIN(6,1+L$3-1))</f>
        <v/>
      </c>
      <c r="M16" s="33">
        <f>$B16*$B$6^(M$3-1)*INDEX(Assumptions!$B$25:$B$30,MIN(6,1+M$3-1))</f>
        <v/>
      </c>
      <c r="N16" s="33">
        <f>$B16*$B$6^(N$3-1)*INDEX(Assumptions!$B$25:$B$30,MIN(6,1+N$3-1))</f>
        <v/>
      </c>
    </row>
    <row r="17">
      <c r="A17" t="inlineStr">
        <is>
          <t>Day-one AEs at level 2</t>
        </is>
      </c>
      <c r="B17">
        <f>N(Assumptions!B34)</f>
        <v/>
      </c>
      <c r="C17" s="33">
        <f>$B17*$B$6^(C$3-1)*INDEX(Assumptions!$B$25:$B$30,MIN(6,2+C$3-1))</f>
        <v/>
      </c>
      <c r="D17" s="33">
        <f>$B17*$B$6^(D$3-1)*INDEX(Assumptions!$B$25:$B$30,MIN(6,2+D$3-1))</f>
        <v/>
      </c>
      <c r="E17" s="33">
        <f>$B17*$B$6^(E$3-1)*INDEX(Assumptions!$B$25:$B$30,MIN(6,2+E$3-1))</f>
        <v/>
      </c>
      <c r="F17" s="33">
        <f>$B17*$B$6^(F$3-1)*INDEX(Assumptions!$B$25:$B$30,MIN(6,2+F$3-1))</f>
        <v/>
      </c>
      <c r="G17" s="33">
        <f>$B17*$B$6^(G$3-1)*INDEX(Assumptions!$B$25:$B$30,MIN(6,2+G$3-1))</f>
        <v/>
      </c>
      <c r="H17" s="33">
        <f>$B17*$B$6^(H$3-1)*INDEX(Assumptions!$B$25:$B$30,MIN(6,2+H$3-1))</f>
        <v/>
      </c>
      <c r="I17" s="33">
        <f>$B17*$B$6^(I$3-1)*INDEX(Assumptions!$B$25:$B$30,MIN(6,2+I$3-1))</f>
        <v/>
      </c>
      <c r="J17" s="33">
        <f>$B17*$B$6^(J$3-1)*INDEX(Assumptions!$B$25:$B$30,MIN(6,2+J$3-1))</f>
        <v/>
      </c>
      <c r="K17" s="33">
        <f>$B17*$B$6^(K$3-1)*INDEX(Assumptions!$B$25:$B$30,MIN(6,2+K$3-1))</f>
        <v/>
      </c>
      <c r="L17" s="33">
        <f>$B17*$B$6^(L$3-1)*INDEX(Assumptions!$B$25:$B$30,MIN(6,2+L$3-1))</f>
        <v/>
      </c>
      <c r="M17" s="33">
        <f>$B17*$B$6^(M$3-1)*INDEX(Assumptions!$B$25:$B$30,MIN(6,2+M$3-1))</f>
        <v/>
      </c>
      <c r="N17" s="33">
        <f>$B17*$B$6^(N$3-1)*INDEX(Assumptions!$B$25:$B$30,MIN(6,2+N$3-1))</f>
        <v/>
      </c>
    </row>
    <row r="18">
      <c r="A18" t="inlineStr">
        <is>
          <t>Day-one AEs at level 3</t>
        </is>
      </c>
      <c r="B18">
        <f>N(Assumptions!B35)</f>
        <v/>
      </c>
      <c r="C18" s="33">
        <f>$B18*$B$6^(C$3-1)*INDEX(Assumptions!$B$25:$B$30,MIN(6,3+C$3-1))</f>
        <v/>
      </c>
      <c r="D18" s="33">
        <f>$B18*$B$6^(D$3-1)*INDEX(Assumptions!$B$25:$B$30,MIN(6,3+D$3-1))</f>
        <v/>
      </c>
      <c r="E18" s="33">
        <f>$B18*$B$6^(E$3-1)*INDEX(Assumptions!$B$25:$B$30,MIN(6,3+E$3-1))</f>
        <v/>
      </c>
      <c r="F18" s="33">
        <f>$B18*$B$6^(F$3-1)*INDEX(Assumptions!$B$25:$B$30,MIN(6,3+F$3-1))</f>
        <v/>
      </c>
      <c r="G18" s="33">
        <f>$B18*$B$6^(G$3-1)*INDEX(Assumptions!$B$25:$B$30,MIN(6,3+G$3-1))</f>
        <v/>
      </c>
      <c r="H18" s="33">
        <f>$B18*$B$6^(H$3-1)*INDEX(Assumptions!$B$25:$B$30,MIN(6,3+H$3-1))</f>
        <v/>
      </c>
      <c r="I18" s="33">
        <f>$B18*$B$6^(I$3-1)*INDEX(Assumptions!$B$25:$B$30,MIN(6,3+I$3-1))</f>
        <v/>
      </c>
      <c r="J18" s="33">
        <f>$B18*$B$6^(J$3-1)*INDEX(Assumptions!$B$25:$B$30,MIN(6,3+J$3-1))</f>
        <v/>
      </c>
      <c r="K18" s="33">
        <f>$B18*$B$6^(K$3-1)*INDEX(Assumptions!$B$25:$B$30,MIN(6,3+K$3-1))</f>
        <v/>
      </c>
      <c r="L18" s="33">
        <f>$B18*$B$6^(L$3-1)*INDEX(Assumptions!$B$25:$B$30,MIN(6,3+L$3-1))</f>
        <v/>
      </c>
      <c r="M18" s="33">
        <f>$B18*$B$6^(M$3-1)*INDEX(Assumptions!$B$25:$B$30,MIN(6,3+M$3-1))</f>
        <v/>
      </c>
      <c r="N18" s="33">
        <f>$B18*$B$6^(N$3-1)*INDEX(Assumptions!$B$25:$B$30,MIN(6,3+N$3-1))</f>
        <v/>
      </c>
    </row>
    <row r="19">
      <c r="A19" t="inlineStr">
        <is>
          <t>Day-one AEs at level 4</t>
        </is>
      </c>
      <c r="B19">
        <f>N(Assumptions!B36)</f>
        <v/>
      </c>
      <c r="C19" s="33">
        <f>$B19*$B$6^(C$3-1)*INDEX(Assumptions!$B$25:$B$30,MIN(6,4+C$3-1))</f>
        <v/>
      </c>
      <c r="D19" s="33">
        <f>$B19*$B$6^(D$3-1)*INDEX(Assumptions!$B$25:$B$30,MIN(6,4+D$3-1))</f>
        <v/>
      </c>
      <c r="E19" s="33">
        <f>$B19*$B$6^(E$3-1)*INDEX(Assumptions!$B$25:$B$30,MIN(6,4+E$3-1))</f>
        <v/>
      </c>
      <c r="F19" s="33">
        <f>$B19*$B$6^(F$3-1)*INDEX(Assumptions!$B$25:$B$30,MIN(6,4+F$3-1))</f>
        <v/>
      </c>
      <c r="G19" s="33">
        <f>$B19*$B$6^(G$3-1)*INDEX(Assumptions!$B$25:$B$30,MIN(6,4+G$3-1))</f>
        <v/>
      </c>
      <c r="H19" s="33">
        <f>$B19*$B$6^(H$3-1)*INDEX(Assumptions!$B$25:$B$30,MIN(6,4+H$3-1))</f>
        <v/>
      </c>
      <c r="I19" s="33">
        <f>$B19*$B$6^(I$3-1)*INDEX(Assumptions!$B$25:$B$30,MIN(6,4+I$3-1))</f>
        <v/>
      </c>
      <c r="J19" s="33">
        <f>$B19*$B$6^(J$3-1)*INDEX(Assumptions!$B$25:$B$30,MIN(6,4+J$3-1))</f>
        <v/>
      </c>
      <c r="K19" s="33">
        <f>$B19*$B$6^(K$3-1)*INDEX(Assumptions!$B$25:$B$30,MIN(6,4+K$3-1))</f>
        <v/>
      </c>
      <c r="L19" s="33">
        <f>$B19*$B$6^(L$3-1)*INDEX(Assumptions!$B$25:$B$30,MIN(6,4+L$3-1))</f>
        <v/>
      </c>
      <c r="M19" s="33">
        <f>$B19*$B$6^(M$3-1)*INDEX(Assumptions!$B$25:$B$30,MIN(6,4+M$3-1))</f>
        <v/>
      </c>
      <c r="N19" s="33">
        <f>$B19*$B$6^(N$3-1)*INDEX(Assumptions!$B$25:$B$30,MIN(6,4+N$3-1))</f>
        <v/>
      </c>
    </row>
    <row r="20">
      <c r="A20" t="inlineStr">
        <is>
          <t>Day-one AEs at level 5</t>
        </is>
      </c>
      <c r="B20">
        <f>N(Assumptions!B37)</f>
        <v/>
      </c>
      <c r="C20" s="33">
        <f>$B20*$B$6^(C$3-1)*INDEX(Assumptions!$B$25:$B$30,MIN(6,5+C$3-1))</f>
        <v/>
      </c>
      <c r="D20" s="33">
        <f>$B20*$B$6^(D$3-1)*INDEX(Assumptions!$B$25:$B$30,MIN(6,5+D$3-1))</f>
        <v/>
      </c>
      <c r="E20" s="33">
        <f>$B20*$B$6^(E$3-1)*INDEX(Assumptions!$B$25:$B$30,MIN(6,5+E$3-1))</f>
        <v/>
      </c>
      <c r="F20" s="33">
        <f>$B20*$B$6^(F$3-1)*INDEX(Assumptions!$B$25:$B$30,MIN(6,5+F$3-1))</f>
        <v/>
      </c>
      <c r="G20" s="33">
        <f>$B20*$B$6^(G$3-1)*INDEX(Assumptions!$B$25:$B$30,MIN(6,5+G$3-1))</f>
        <v/>
      </c>
      <c r="H20" s="33">
        <f>$B20*$B$6^(H$3-1)*INDEX(Assumptions!$B$25:$B$30,MIN(6,5+H$3-1))</f>
        <v/>
      </c>
      <c r="I20" s="33">
        <f>$B20*$B$6^(I$3-1)*INDEX(Assumptions!$B$25:$B$30,MIN(6,5+I$3-1))</f>
        <v/>
      </c>
      <c r="J20" s="33">
        <f>$B20*$B$6^(J$3-1)*INDEX(Assumptions!$B$25:$B$30,MIN(6,5+J$3-1))</f>
        <v/>
      </c>
      <c r="K20" s="33">
        <f>$B20*$B$6^(K$3-1)*INDEX(Assumptions!$B$25:$B$30,MIN(6,5+K$3-1))</f>
        <v/>
      </c>
      <c r="L20" s="33">
        <f>$B20*$B$6^(L$3-1)*INDEX(Assumptions!$B$25:$B$30,MIN(6,5+L$3-1))</f>
        <v/>
      </c>
      <c r="M20" s="33">
        <f>$B20*$B$6^(M$3-1)*INDEX(Assumptions!$B$25:$B$30,MIN(6,5+M$3-1))</f>
        <v/>
      </c>
      <c r="N20" s="33">
        <f>$B20*$B$6^(N$3-1)*INDEX(Assumptions!$B$25:$B$30,MIN(6,5+N$3-1))</f>
        <v/>
      </c>
    </row>
    <row r="21">
      <c r="A21" t="inlineStr">
        <is>
          <t>Day-one AEs at level 6</t>
        </is>
      </c>
      <c r="B21">
        <f>N(Assumptions!B38)</f>
        <v/>
      </c>
      <c r="C21" s="33">
        <f>$B21*$B$6^(C$3-1)*INDEX(Assumptions!$B$25:$B$30,MIN(6,6+C$3-1))</f>
        <v/>
      </c>
      <c r="D21" s="33">
        <f>$B21*$B$6^(D$3-1)*INDEX(Assumptions!$B$25:$B$30,MIN(6,6+D$3-1))</f>
        <v/>
      </c>
      <c r="E21" s="33">
        <f>$B21*$B$6^(E$3-1)*INDEX(Assumptions!$B$25:$B$30,MIN(6,6+E$3-1))</f>
        <v/>
      </c>
      <c r="F21" s="33">
        <f>$B21*$B$6^(F$3-1)*INDEX(Assumptions!$B$25:$B$30,MIN(6,6+F$3-1))</f>
        <v/>
      </c>
      <c r="G21" s="33">
        <f>$B21*$B$6^(G$3-1)*INDEX(Assumptions!$B$25:$B$30,MIN(6,6+G$3-1))</f>
        <v/>
      </c>
      <c r="H21" s="33">
        <f>$B21*$B$6^(H$3-1)*INDEX(Assumptions!$B$25:$B$30,MIN(6,6+H$3-1))</f>
        <v/>
      </c>
      <c r="I21" s="33">
        <f>$B21*$B$6^(I$3-1)*INDEX(Assumptions!$B$25:$B$30,MIN(6,6+I$3-1))</f>
        <v/>
      </c>
      <c r="J21" s="33">
        <f>$B21*$B$6^(J$3-1)*INDEX(Assumptions!$B$25:$B$30,MIN(6,6+J$3-1))</f>
        <v/>
      </c>
      <c r="K21" s="33">
        <f>$B21*$B$6^(K$3-1)*INDEX(Assumptions!$B$25:$B$30,MIN(6,6+K$3-1))</f>
        <v/>
      </c>
      <c r="L21" s="33">
        <f>$B21*$B$6^(L$3-1)*INDEX(Assumptions!$B$25:$B$30,MIN(6,6+L$3-1))</f>
        <v/>
      </c>
      <c r="M21" s="33">
        <f>$B21*$B$6^(M$3-1)*INDEX(Assumptions!$B$25:$B$30,MIN(6,6+M$3-1))</f>
        <v/>
      </c>
      <c r="N21" s="33">
        <f>$B21*$B$6^(N$3-1)*INDEX(Assumptions!$B$25:$B$30,MIN(6,6+N$3-1))</f>
        <v/>
      </c>
    </row>
    <row r="22">
      <c r="A22" t="inlineStr">
        <is>
          <t>Day-one team capacity (equivalents)</t>
        </is>
      </c>
      <c r="C22" s="33">
        <f>SUM(C16:C21)</f>
        <v/>
      </c>
      <c r="D22" s="33">
        <f>SUM(D16:D21)</f>
        <v/>
      </c>
      <c r="E22" s="33">
        <f>SUM(E16:E21)</f>
        <v/>
      </c>
      <c r="F22" s="33">
        <f>SUM(F16:F21)</f>
        <v/>
      </c>
      <c r="G22" s="33">
        <f>SUM(G16:G21)</f>
        <v/>
      </c>
      <c r="H22" s="33">
        <f>SUM(H16:H21)</f>
        <v/>
      </c>
      <c r="I22" s="33">
        <f>SUM(I16:I21)</f>
        <v/>
      </c>
      <c r="J22" s="33">
        <f>SUM(J16:J21)</f>
        <v/>
      </c>
      <c r="K22" s="33">
        <f>SUM(K16:K21)</f>
        <v/>
      </c>
      <c r="L22" s="33">
        <f>SUM(L16:L21)</f>
        <v/>
      </c>
      <c r="M22" s="33">
        <f>SUM(M16:M21)</f>
        <v/>
      </c>
      <c r="N22" s="33">
        <f>SUM(N16:N21)</f>
        <v/>
      </c>
    </row>
    <row r="23">
      <c r="A23" t="inlineStr">
        <is>
          <t>Day-one team heads still employed</t>
        </is>
      </c>
      <c r="C23" s="10">
        <f>SUM($B$16:$B$21)*$B$6^(C$3-1)</f>
        <v/>
      </c>
      <c r="D23" s="10">
        <f>SUM($B$16:$B$21)*$B$6^(D$3-1)</f>
        <v/>
      </c>
      <c r="E23" s="10">
        <f>SUM($B$16:$B$21)*$B$6^(E$3-1)</f>
        <v/>
      </c>
      <c r="F23" s="10">
        <f>SUM($B$16:$B$21)*$B$6^(F$3-1)</f>
        <v/>
      </c>
      <c r="G23" s="10">
        <f>SUM($B$16:$B$21)*$B$6^(G$3-1)</f>
        <v/>
      </c>
      <c r="H23" s="10">
        <f>SUM($B$16:$B$21)*$B$6^(H$3-1)</f>
        <v/>
      </c>
      <c r="I23" s="10">
        <f>SUM($B$16:$B$21)*$B$6^(I$3-1)</f>
        <v/>
      </c>
      <c r="J23" s="10">
        <f>SUM($B$16:$B$21)*$B$6^(J$3-1)</f>
        <v/>
      </c>
      <c r="K23" s="10">
        <f>SUM($B$16:$B$21)*$B$6^(K$3-1)</f>
        <v/>
      </c>
      <c r="L23" s="10">
        <f>SUM($B$16:$B$21)*$B$6^(L$3-1)</f>
        <v/>
      </c>
      <c r="M23" s="10">
        <f>SUM($B$16:$B$21)*$B$6^(M$3-1)</f>
        <v/>
      </c>
      <c r="N23" s="10">
        <f>SUM($B$16:$B$21)*$B$6^(N$3-1)</f>
        <v/>
      </c>
    </row>
    <row r="25">
      <c r="A25" s="20" t="inlineStr">
        <is>
          <t>AE hires</t>
        </is>
      </c>
      <c r="B25" s="21" t="n"/>
      <c r="C25" s="21" t="n"/>
      <c r="D25" s="21" t="n"/>
      <c r="E25" s="21" t="n"/>
      <c r="F25" s="21" t="n"/>
      <c r="G25" s="21" t="n"/>
      <c r="H25" s="21" t="n"/>
      <c r="I25" s="21" t="n"/>
      <c r="J25" s="21" t="n"/>
      <c r="K25" s="21" t="n"/>
      <c r="L25" s="21" t="n"/>
      <c r="M25" s="21" t="n"/>
      <c r="N25" s="21" t="n"/>
      <c r="O25" s="21" t="n"/>
      <c r="P25" s="21" t="n"/>
    </row>
    <row r="26">
      <c r="A26" t="inlineStr">
        <is>
          <t>Manual AE hires (offers out, strategic hires)</t>
        </is>
      </c>
      <c r="C26" s="19" t="n"/>
      <c r="D26" s="19" t="n"/>
      <c r="E26" s="19" t="n"/>
      <c r="F26" s="19" t="n"/>
      <c r="G26" s="19" t="n"/>
      <c r="H26" s="19" t="n"/>
      <c r="I26" s="19" t="n"/>
      <c r="J26" s="19" t="n"/>
    </row>
    <row r="27">
      <c r="A27" t="inlineStr">
        <is>
          <t>Planned hires to close the gap 'lead' quarters later</t>
        </is>
      </c>
      <c r="C27" s="12">
        <f>IF(OR($B$8&lt;=0,C$3+$B$7&gt;12),0,MAX(0,ROUNDUP(MAX(0,INDEX($C$13:$N$13,C$3+$B$7)-INDEX($C$22:$N$22,C$3+$B$7)-INDEX($C$41:$N$41,C$3+$B$7)-N(C26)*$B$8)/$B$8-0.000001,0)))</f>
        <v/>
      </c>
      <c r="D27" s="12">
        <f>IF(OR($B$8&lt;=0,D$3+$B$7&gt;12),0,MAX(0,ROUNDUP(MAX(0,INDEX($C$13:$N$13,D$3+$B$7)-INDEX($C$22:$N$22,D$3+$B$7)-INDEX($C$42:$N$42,D$3+$B$7)-N(D26)*$B$8)/$B$8-0.000001,0)))</f>
        <v/>
      </c>
      <c r="E27" s="12">
        <f>IF(OR($B$8&lt;=0,E$3+$B$7&gt;12),0,MAX(0,ROUNDUP(MAX(0,INDEX($C$13:$N$13,E$3+$B$7)-INDEX($C$22:$N$22,E$3+$B$7)-INDEX($C$43:$N$43,E$3+$B$7)-N(E26)*$B$8)/$B$8-0.000001,0)))</f>
        <v/>
      </c>
      <c r="F27" s="12">
        <f>IF(OR($B$8&lt;=0,F$3+$B$7&gt;12),0,MAX(0,ROUNDUP(MAX(0,INDEX($C$13:$N$13,F$3+$B$7)-INDEX($C$22:$N$22,F$3+$B$7)-INDEX($C$44:$N$44,F$3+$B$7)-N(F26)*$B$8)/$B$8-0.000001,0)))</f>
        <v/>
      </c>
      <c r="G27" s="12">
        <f>IF(OR($B$8&lt;=0,G$3+$B$7&gt;12),0,MAX(0,ROUNDUP(MAX(0,INDEX($C$13:$N$13,G$3+$B$7)-INDEX($C$22:$N$22,G$3+$B$7)-INDEX($C$45:$N$45,G$3+$B$7)-N(G26)*$B$8)/$B$8-0.000001,0)))</f>
        <v/>
      </c>
      <c r="H27" s="12">
        <f>IF(OR($B$8&lt;=0,H$3+$B$7&gt;12),0,MAX(0,ROUNDUP(MAX(0,INDEX($C$13:$N$13,H$3+$B$7)-INDEX($C$22:$N$22,H$3+$B$7)-INDEX($C$46:$N$46,H$3+$B$7)-N(H26)*$B$8)/$B$8-0.000001,0)))</f>
        <v/>
      </c>
      <c r="I27" s="12">
        <f>IF(OR($B$8&lt;=0,I$3+$B$7&gt;12),0,MAX(0,ROUNDUP(MAX(0,INDEX($C$13:$N$13,I$3+$B$7)-INDEX($C$22:$N$22,I$3+$B$7)-INDEX($C$47:$N$47,I$3+$B$7)-N(I26)*$B$8)/$B$8-0.000001,0)))</f>
        <v/>
      </c>
      <c r="J27" s="12">
        <f>IF(OR($B$8&lt;=0,J$3+$B$7&gt;12),0,MAX(0,ROUNDUP(MAX(0,INDEX($C$13:$N$13,J$3+$B$7)-INDEX($C$22:$N$22,J$3+$B$7)-INDEX($C$48:$N$48,J$3+$B$7)-N(J26)*$B$8)/$B$8-0.000001,0)))</f>
        <v/>
      </c>
    </row>
    <row r="28">
      <c r="A28" t="inlineStr">
        <is>
          <t>Total AE hires</t>
        </is>
      </c>
      <c r="C28" s="12">
        <f>N(C26)+C27</f>
        <v/>
      </c>
      <c r="D28" s="12">
        <f>N(D26)+D27</f>
        <v/>
      </c>
      <c r="E28" s="12">
        <f>N(E26)+E27</f>
        <v/>
      </c>
      <c r="F28" s="12">
        <f>N(F26)+F27</f>
        <v/>
      </c>
      <c r="G28" s="12">
        <f>N(G26)+G27</f>
        <v/>
      </c>
      <c r="H28" s="12">
        <f>N(H26)+H27</f>
        <v/>
      </c>
      <c r="I28" s="12">
        <f>N(I26)+I27</f>
        <v/>
      </c>
      <c r="J28" s="12">
        <f>N(J26)+J27</f>
        <v/>
      </c>
      <c r="O28">
        <f>SUM(C28:F28)</f>
        <v/>
      </c>
      <c r="P28">
        <f>SUM(G28:J28)</f>
        <v/>
      </c>
    </row>
    <row r="30">
      <c r="A30" s="20" t="inlineStr">
        <is>
          <t>Hire cohorts: capacity in full-quota AE equivalents (row = hire quarter, column = quarter)</t>
        </is>
      </c>
      <c r="B30" s="21" t="n"/>
      <c r="C30" s="21" t="n"/>
      <c r="D30" s="21" t="n"/>
      <c r="E30" s="21" t="n"/>
      <c r="F30" s="21" t="n"/>
      <c r="G30" s="21" t="n"/>
      <c r="H30" s="21" t="n"/>
      <c r="I30" s="21" t="n"/>
      <c r="J30" s="21" t="n"/>
      <c r="K30" s="21" t="n"/>
      <c r="L30" s="21" t="n"/>
      <c r="M30" s="21" t="n"/>
      <c r="N30" s="21" t="n"/>
      <c r="O30" s="21" t="n"/>
      <c r="P30" s="21" t="n"/>
    </row>
    <row r="31">
      <c r="A31" t="inlineStr">
        <is>
          <t>Hired in Y1 Q1</t>
        </is>
      </c>
      <c r="C31" s="33">
        <f>IF(C$3&lt;1,0,$C$28*$B$6^(C$3-1)*INDEX(Assumptions!$B$25:$B$30,MIN(6,C$3-1+1)))</f>
        <v/>
      </c>
      <c r="D31" s="33">
        <f>IF(D$3&lt;1,0,$C$28*$B$6^(D$3-1)*INDEX(Assumptions!$B$25:$B$30,MIN(6,D$3-1+1)))</f>
        <v/>
      </c>
      <c r="E31" s="33">
        <f>IF(E$3&lt;1,0,$C$28*$B$6^(E$3-1)*INDEX(Assumptions!$B$25:$B$30,MIN(6,E$3-1+1)))</f>
        <v/>
      </c>
      <c r="F31" s="33">
        <f>IF(F$3&lt;1,0,$C$28*$B$6^(F$3-1)*INDEX(Assumptions!$B$25:$B$30,MIN(6,F$3-1+1)))</f>
        <v/>
      </c>
      <c r="G31" s="33">
        <f>IF(G$3&lt;1,0,$C$28*$B$6^(G$3-1)*INDEX(Assumptions!$B$25:$B$30,MIN(6,G$3-1+1)))</f>
        <v/>
      </c>
      <c r="H31" s="33">
        <f>IF(H$3&lt;1,0,$C$28*$B$6^(H$3-1)*INDEX(Assumptions!$B$25:$B$30,MIN(6,H$3-1+1)))</f>
        <v/>
      </c>
      <c r="I31" s="33">
        <f>IF(I$3&lt;1,0,$C$28*$B$6^(I$3-1)*INDEX(Assumptions!$B$25:$B$30,MIN(6,I$3-1+1)))</f>
        <v/>
      </c>
      <c r="J31" s="33">
        <f>IF(J$3&lt;1,0,$C$28*$B$6^(J$3-1)*INDEX(Assumptions!$B$25:$B$30,MIN(6,J$3-1+1)))</f>
        <v/>
      </c>
      <c r="K31" s="33">
        <f>IF(K$3&lt;1,0,$C$28*$B$6^(K$3-1)*INDEX(Assumptions!$B$25:$B$30,MIN(6,K$3-1+1)))</f>
        <v/>
      </c>
      <c r="L31" s="33">
        <f>IF(L$3&lt;1,0,$C$28*$B$6^(L$3-1)*INDEX(Assumptions!$B$25:$B$30,MIN(6,L$3-1+1)))</f>
        <v/>
      </c>
      <c r="M31" s="33">
        <f>IF(M$3&lt;1,0,$C$28*$B$6^(M$3-1)*INDEX(Assumptions!$B$25:$B$30,MIN(6,M$3-1+1)))</f>
        <v/>
      </c>
      <c r="N31" s="33">
        <f>IF(N$3&lt;1,0,$C$28*$B$6^(N$3-1)*INDEX(Assumptions!$B$25:$B$30,MIN(6,N$3-1+1)))</f>
        <v/>
      </c>
    </row>
    <row r="32">
      <c r="A32" t="inlineStr">
        <is>
          <t>Hired in Y1 Q2</t>
        </is>
      </c>
      <c r="C32" s="33">
        <f>IF(C$3&lt;2,0,$D$28*$B$6^(C$3-2)*INDEX(Assumptions!$B$25:$B$30,MIN(6,C$3-2+1)))</f>
        <v/>
      </c>
      <c r="D32" s="33">
        <f>IF(D$3&lt;2,0,$D$28*$B$6^(D$3-2)*INDEX(Assumptions!$B$25:$B$30,MIN(6,D$3-2+1)))</f>
        <v/>
      </c>
      <c r="E32" s="33">
        <f>IF(E$3&lt;2,0,$D$28*$B$6^(E$3-2)*INDEX(Assumptions!$B$25:$B$30,MIN(6,E$3-2+1)))</f>
        <v/>
      </c>
      <c r="F32" s="33">
        <f>IF(F$3&lt;2,0,$D$28*$B$6^(F$3-2)*INDEX(Assumptions!$B$25:$B$30,MIN(6,F$3-2+1)))</f>
        <v/>
      </c>
      <c r="G32" s="33">
        <f>IF(G$3&lt;2,0,$D$28*$B$6^(G$3-2)*INDEX(Assumptions!$B$25:$B$30,MIN(6,G$3-2+1)))</f>
        <v/>
      </c>
      <c r="H32" s="33">
        <f>IF(H$3&lt;2,0,$D$28*$B$6^(H$3-2)*INDEX(Assumptions!$B$25:$B$30,MIN(6,H$3-2+1)))</f>
        <v/>
      </c>
      <c r="I32" s="33">
        <f>IF(I$3&lt;2,0,$D$28*$B$6^(I$3-2)*INDEX(Assumptions!$B$25:$B$30,MIN(6,I$3-2+1)))</f>
        <v/>
      </c>
      <c r="J32" s="33">
        <f>IF(J$3&lt;2,0,$D$28*$B$6^(J$3-2)*INDEX(Assumptions!$B$25:$B$30,MIN(6,J$3-2+1)))</f>
        <v/>
      </c>
      <c r="K32" s="33">
        <f>IF(K$3&lt;2,0,$D$28*$B$6^(K$3-2)*INDEX(Assumptions!$B$25:$B$30,MIN(6,K$3-2+1)))</f>
        <v/>
      </c>
      <c r="L32" s="33">
        <f>IF(L$3&lt;2,0,$D$28*$B$6^(L$3-2)*INDEX(Assumptions!$B$25:$B$30,MIN(6,L$3-2+1)))</f>
        <v/>
      </c>
      <c r="M32" s="33">
        <f>IF(M$3&lt;2,0,$D$28*$B$6^(M$3-2)*INDEX(Assumptions!$B$25:$B$30,MIN(6,M$3-2+1)))</f>
        <v/>
      </c>
      <c r="N32" s="33">
        <f>IF(N$3&lt;2,0,$D$28*$B$6^(N$3-2)*INDEX(Assumptions!$B$25:$B$30,MIN(6,N$3-2+1)))</f>
        <v/>
      </c>
    </row>
    <row r="33">
      <c r="A33" t="inlineStr">
        <is>
          <t>Hired in Y1 Q3</t>
        </is>
      </c>
      <c r="C33" s="33">
        <f>IF(C$3&lt;3,0,$E$28*$B$6^(C$3-3)*INDEX(Assumptions!$B$25:$B$30,MIN(6,C$3-3+1)))</f>
        <v/>
      </c>
      <c r="D33" s="33">
        <f>IF(D$3&lt;3,0,$E$28*$B$6^(D$3-3)*INDEX(Assumptions!$B$25:$B$30,MIN(6,D$3-3+1)))</f>
        <v/>
      </c>
      <c r="E33" s="33">
        <f>IF(E$3&lt;3,0,$E$28*$B$6^(E$3-3)*INDEX(Assumptions!$B$25:$B$30,MIN(6,E$3-3+1)))</f>
        <v/>
      </c>
      <c r="F33" s="33">
        <f>IF(F$3&lt;3,0,$E$28*$B$6^(F$3-3)*INDEX(Assumptions!$B$25:$B$30,MIN(6,F$3-3+1)))</f>
        <v/>
      </c>
      <c r="G33" s="33">
        <f>IF(G$3&lt;3,0,$E$28*$B$6^(G$3-3)*INDEX(Assumptions!$B$25:$B$30,MIN(6,G$3-3+1)))</f>
        <v/>
      </c>
      <c r="H33" s="33">
        <f>IF(H$3&lt;3,0,$E$28*$B$6^(H$3-3)*INDEX(Assumptions!$B$25:$B$30,MIN(6,H$3-3+1)))</f>
        <v/>
      </c>
      <c r="I33" s="33">
        <f>IF(I$3&lt;3,0,$E$28*$B$6^(I$3-3)*INDEX(Assumptions!$B$25:$B$30,MIN(6,I$3-3+1)))</f>
        <v/>
      </c>
      <c r="J33" s="33">
        <f>IF(J$3&lt;3,0,$E$28*$B$6^(J$3-3)*INDEX(Assumptions!$B$25:$B$30,MIN(6,J$3-3+1)))</f>
        <v/>
      </c>
      <c r="K33" s="33">
        <f>IF(K$3&lt;3,0,$E$28*$B$6^(K$3-3)*INDEX(Assumptions!$B$25:$B$30,MIN(6,K$3-3+1)))</f>
        <v/>
      </c>
      <c r="L33" s="33">
        <f>IF(L$3&lt;3,0,$E$28*$B$6^(L$3-3)*INDEX(Assumptions!$B$25:$B$30,MIN(6,L$3-3+1)))</f>
        <v/>
      </c>
      <c r="M33" s="33">
        <f>IF(M$3&lt;3,0,$E$28*$B$6^(M$3-3)*INDEX(Assumptions!$B$25:$B$30,MIN(6,M$3-3+1)))</f>
        <v/>
      </c>
      <c r="N33" s="33">
        <f>IF(N$3&lt;3,0,$E$28*$B$6^(N$3-3)*INDEX(Assumptions!$B$25:$B$30,MIN(6,N$3-3+1)))</f>
        <v/>
      </c>
    </row>
    <row r="34">
      <c r="A34" t="inlineStr">
        <is>
          <t>Hired in Y1 Q4</t>
        </is>
      </c>
      <c r="C34" s="33">
        <f>IF(C$3&lt;4,0,$F$28*$B$6^(C$3-4)*INDEX(Assumptions!$B$25:$B$30,MIN(6,C$3-4+1)))</f>
        <v/>
      </c>
      <c r="D34" s="33">
        <f>IF(D$3&lt;4,0,$F$28*$B$6^(D$3-4)*INDEX(Assumptions!$B$25:$B$30,MIN(6,D$3-4+1)))</f>
        <v/>
      </c>
      <c r="E34" s="33">
        <f>IF(E$3&lt;4,0,$F$28*$B$6^(E$3-4)*INDEX(Assumptions!$B$25:$B$30,MIN(6,E$3-4+1)))</f>
        <v/>
      </c>
      <c r="F34" s="33">
        <f>IF(F$3&lt;4,0,$F$28*$B$6^(F$3-4)*INDEX(Assumptions!$B$25:$B$30,MIN(6,F$3-4+1)))</f>
        <v/>
      </c>
      <c r="G34" s="33">
        <f>IF(G$3&lt;4,0,$F$28*$B$6^(G$3-4)*INDEX(Assumptions!$B$25:$B$30,MIN(6,G$3-4+1)))</f>
        <v/>
      </c>
      <c r="H34" s="33">
        <f>IF(H$3&lt;4,0,$F$28*$B$6^(H$3-4)*INDEX(Assumptions!$B$25:$B$30,MIN(6,H$3-4+1)))</f>
        <v/>
      </c>
      <c r="I34" s="33">
        <f>IF(I$3&lt;4,0,$F$28*$B$6^(I$3-4)*INDEX(Assumptions!$B$25:$B$30,MIN(6,I$3-4+1)))</f>
        <v/>
      </c>
      <c r="J34" s="33">
        <f>IF(J$3&lt;4,0,$F$28*$B$6^(J$3-4)*INDEX(Assumptions!$B$25:$B$30,MIN(6,J$3-4+1)))</f>
        <v/>
      </c>
      <c r="K34" s="33">
        <f>IF(K$3&lt;4,0,$F$28*$B$6^(K$3-4)*INDEX(Assumptions!$B$25:$B$30,MIN(6,K$3-4+1)))</f>
        <v/>
      </c>
      <c r="L34" s="33">
        <f>IF(L$3&lt;4,0,$F$28*$B$6^(L$3-4)*INDEX(Assumptions!$B$25:$B$30,MIN(6,L$3-4+1)))</f>
        <v/>
      </c>
      <c r="M34" s="33">
        <f>IF(M$3&lt;4,0,$F$28*$B$6^(M$3-4)*INDEX(Assumptions!$B$25:$B$30,MIN(6,M$3-4+1)))</f>
        <v/>
      </c>
      <c r="N34" s="33">
        <f>IF(N$3&lt;4,0,$F$28*$B$6^(N$3-4)*INDEX(Assumptions!$B$25:$B$30,MIN(6,N$3-4+1)))</f>
        <v/>
      </c>
    </row>
    <row r="35">
      <c r="A35" t="inlineStr">
        <is>
          <t>Hired in Y2 Q1</t>
        </is>
      </c>
      <c r="C35" s="33">
        <f>IF(C$3&lt;5,0,$G$28*$B$6^(C$3-5)*INDEX(Assumptions!$B$25:$B$30,MIN(6,C$3-5+1)))</f>
        <v/>
      </c>
      <c r="D35" s="33">
        <f>IF(D$3&lt;5,0,$G$28*$B$6^(D$3-5)*INDEX(Assumptions!$B$25:$B$30,MIN(6,D$3-5+1)))</f>
        <v/>
      </c>
      <c r="E35" s="33">
        <f>IF(E$3&lt;5,0,$G$28*$B$6^(E$3-5)*INDEX(Assumptions!$B$25:$B$30,MIN(6,E$3-5+1)))</f>
        <v/>
      </c>
      <c r="F35" s="33">
        <f>IF(F$3&lt;5,0,$G$28*$B$6^(F$3-5)*INDEX(Assumptions!$B$25:$B$30,MIN(6,F$3-5+1)))</f>
        <v/>
      </c>
      <c r="G35" s="33">
        <f>IF(G$3&lt;5,0,$G$28*$B$6^(G$3-5)*INDEX(Assumptions!$B$25:$B$30,MIN(6,G$3-5+1)))</f>
        <v/>
      </c>
      <c r="H35" s="33">
        <f>IF(H$3&lt;5,0,$G$28*$B$6^(H$3-5)*INDEX(Assumptions!$B$25:$B$30,MIN(6,H$3-5+1)))</f>
        <v/>
      </c>
      <c r="I35" s="33">
        <f>IF(I$3&lt;5,0,$G$28*$B$6^(I$3-5)*INDEX(Assumptions!$B$25:$B$30,MIN(6,I$3-5+1)))</f>
        <v/>
      </c>
      <c r="J35" s="33">
        <f>IF(J$3&lt;5,0,$G$28*$B$6^(J$3-5)*INDEX(Assumptions!$B$25:$B$30,MIN(6,J$3-5+1)))</f>
        <v/>
      </c>
      <c r="K35" s="33">
        <f>IF(K$3&lt;5,0,$G$28*$B$6^(K$3-5)*INDEX(Assumptions!$B$25:$B$30,MIN(6,K$3-5+1)))</f>
        <v/>
      </c>
      <c r="L35" s="33">
        <f>IF(L$3&lt;5,0,$G$28*$B$6^(L$3-5)*INDEX(Assumptions!$B$25:$B$30,MIN(6,L$3-5+1)))</f>
        <v/>
      </c>
      <c r="M35" s="33">
        <f>IF(M$3&lt;5,0,$G$28*$B$6^(M$3-5)*INDEX(Assumptions!$B$25:$B$30,MIN(6,M$3-5+1)))</f>
        <v/>
      </c>
      <c r="N35" s="33">
        <f>IF(N$3&lt;5,0,$G$28*$B$6^(N$3-5)*INDEX(Assumptions!$B$25:$B$30,MIN(6,N$3-5+1)))</f>
        <v/>
      </c>
    </row>
    <row r="36">
      <c r="A36" t="inlineStr">
        <is>
          <t>Hired in Y2 Q2</t>
        </is>
      </c>
      <c r="C36" s="33">
        <f>IF(C$3&lt;6,0,$H$28*$B$6^(C$3-6)*INDEX(Assumptions!$B$25:$B$30,MIN(6,C$3-6+1)))</f>
        <v/>
      </c>
      <c r="D36" s="33">
        <f>IF(D$3&lt;6,0,$H$28*$B$6^(D$3-6)*INDEX(Assumptions!$B$25:$B$30,MIN(6,D$3-6+1)))</f>
        <v/>
      </c>
      <c r="E36" s="33">
        <f>IF(E$3&lt;6,0,$H$28*$B$6^(E$3-6)*INDEX(Assumptions!$B$25:$B$30,MIN(6,E$3-6+1)))</f>
        <v/>
      </c>
      <c r="F36" s="33">
        <f>IF(F$3&lt;6,0,$H$28*$B$6^(F$3-6)*INDEX(Assumptions!$B$25:$B$30,MIN(6,F$3-6+1)))</f>
        <v/>
      </c>
      <c r="G36" s="33">
        <f>IF(G$3&lt;6,0,$H$28*$B$6^(G$3-6)*INDEX(Assumptions!$B$25:$B$30,MIN(6,G$3-6+1)))</f>
        <v/>
      </c>
      <c r="H36" s="33">
        <f>IF(H$3&lt;6,0,$H$28*$B$6^(H$3-6)*INDEX(Assumptions!$B$25:$B$30,MIN(6,H$3-6+1)))</f>
        <v/>
      </c>
      <c r="I36" s="33">
        <f>IF(I$3&lt;6,0,$H$28*$B$6^(I$3-6)*INDEX(Assumptions!$B$25:$B$30,MIN(6,I$3-6+1)))</f>
        <v/>
      </c>
      <c r="J36" s="33">
        <f>IF(J$3&lt;6,0,$H$28*$B$6^(J$3-6)*INDEX(Assumptions!$B$25:$B$30,MIN(6,J$3-6+1)))</f>
        <v/>
      </c>
      <c r="K36" s="33">
        <f>IF(K$3&lt;6,0,$H$28*$B$6^(K$3-6)*INDEX(Assumptions!$B$25:$B$30,MIN(6,K$3-6+1)))</f>
        <v/>
      </c>
      <c r="L36" s="33">
        <f>IF(L$3&lt;6,0,$H$28*$B$6^(L$3-6)*INDEX(Assumptions!$B$25:$B$30,MIN(6,L$3-6+1)))</f>
        <v/>
      </c>
      <c r="M36" s="33">
        <f>IF(M$3&lt;6,0,$H$28*$B$6^(M$3-6)*INDEX(Assumptions!$B$25:$B$30,MIN(6,M$3-6+1)))</f>
        <v/>
      </c>
      <c r="N36" s="33">
        <f>IF(N$3&lt;6,0,$H$28*$B$6^(N$3-6)*INDEX(Assumptions!$B$25:$B$30,MIN(6,N$3-6+1)))</f>
        <v/>
      </c>
    </row>
    <row r="37">
      <c r="A37" t="inlineStr">
        <is>
          <t>Hired in Y2 Q3</t>
        </is>
      </c>
      <c r="C37" s="33">
        <f>IF(C$3&lt;7,0,$I$28*$B$6^(C$3-7)*INDEX(Assumptions!$B$25:$B$30,MIN(6,C$3-7+1)))</f>
        <v/>
      </c>
      <c r="D37" s="33">
        <f>IF(D$3&lt;7,0,$I$28*$B$6^(D$3-7)*INDEX(Assumptions!$B$25:$B$30,MIN(6,D$3-7+1)))</f>
        <v/>
      </c>
      <c r="E37" s="33">
        <f>IF(E$3&lt;7,0,$I$28*$B$6^(E$3-7)*INDEX(Assumptions!$B$25:$B$30,MIN(6,E$3-7+1)))</f>
        <v/>
      </c>
      <c r="F37" s="33">
        <f>IF(F$3&lt;7,0,$I$28*$B$6^(F$3-7)*INDEX(Assumptions!$B$25:$B$30,MIN(6,F$3-7+1)))</f>
        <v/>
      </c>
      <c r="G37" s="33">
        <f>IF(G$3&lt;7,0,$I$28*$B$6^(G$3-7)*INDEX(Assumptions!$B$25:$B$30,MIN(6,G$3-7+1)))</f>
        <v/>
      </c>
      <c r="H37" s="33">
        <f>IF(H$3&lt;7,0,$I$28*$B$6^(H$3-7)*INDEX(Assumptions!$B$25:$B$30,MIN(6,H$3-7+1)))</f>
        <v/>
      </c>
      <c r="I37" s="33">
        <f>IF(I$3&lt;7,0,$I$28*$B$6^(I$3-7)*INDEX(Assumptions!$B$25:$B$30,MIN(6,I$3-7+1)))</f>
        <v/>
      </c>
      <c r="J37" s="33">
        <f>IF(J$3&lt;7,0,$I$28*$B$6^(J$3-7)*INDEX(Assumptions!$B$25:$B$30,MIN(6,J$3-7+1)))</f>
        <v/>
      </c>
      <c r="K37" s="33">
        <f>IF(K$3&lt;7,0,$I$28*$B$6^(K$3-7)*INDEX(Assumptions!$B$25:$B$30,MIN(6,K$3-7+1)))</f>
        <v/>
      </c>
      <c r="L37" s="33">
        <f>IF(L$3&lt;7,0,$I$28*$B$6^(L$3-7)*INDEX(Assumptions!$B$25:$B$30,MIN(6,L$3-7+1)))</f>
        <v/>
      </c>
      <c r="M37" s="33">
        <f>IF(M$3&lt;7,0,$I$28*$B$6^(M$3-7)*INDEX(Assumptions!$B$25:$B$30,MIN(6,M$3-7+1)))</f>
        <v/>
      </c>
      <c r="N37" s="33">
        <f>IF(N$3&lt;7,0,$I$28*$B$6^(N$3-7)*INDEX(Assumptions!$B$25:$B$30,MIN(6,N$3-7+1)))</f>
        <v/>
      </c>
    </row>
    <row r="38">
      <c r="A38" t="inlineStr">
        <is>
          <t>Hired in Y2 Q4</t>
        </is>
      </c>
      <c r="C38" s="33">
        <f>IF(C$3&lt;8,0,$J$28*$B$6^(C$3-8)*INDEX(Assumptions!$B$25:$B$30,MIN(6,C$3-8+1)))</f>
        <v/>
      </c>
      <c r="D38" s="33">
        <f>IF(D$3&lt;8,0,$J$28*$B$6^(D$3-8)*INDEX(Assumptions!$B$25:$B$30,MIN(6,D$3-8+1)))</f>
        <v/>
      </c>
      <c r="E38" s="33">
        <f>IF(E$3&lt;8,0,$J$28*$B$6^(E$3-8)*INDEX(Assumptions!$B$25:$B$30,MIN(6,E$3-8+1)))</f>
        <v/>
      </c>
      <c r="F38" s="33">
        <f>IF(F$3&lt;8,0,$J$28*$B$6^(F$3-8)*INDEX(Assumptions!$B$25:$B$30,MIN(6,F$3-8+1)))</f>
        <v/>
      </c>
      <c r="G38" s="33">
        <f>IF(G$3&lt;8,0,$J$28*$B$6^(G$3-8)*INDEX(Assumptions!$B$25:$B$30,MIN(6,G$3-8+1)))</f>
        <v/>
      </c>
      <c r="H38" s="33">
        <f>IF(H$3&lt;8,0,$J$28*$B$6^(H$3-8)*INDEX(Assumptions!$B$25:$B$30,MIN(6,H$3-8+1)))</f>
        <v/>
      </c>
      <c r="I38" s="33">
        <f>IF(I$3&lt;8,0,$J$28*$B$6^(I$3-8)*INDEX(Assumptions!$B$25:$B$30,MIN(6,I$3-8+1)))</f>
        <v/>
      </c>
      <c r="J38" s="33">
        <f>IF(J$3&lt;8,0,$J$28*$B$6^(J$3-8)*INDEX(Assumptions!$B$25:$B$30,MIN(6,J$3-8+1)))</f>
        <v/>
      </c>
      <c r="K38" s="33">
        <f>IF(K$3&lt;8,0,$J$28*$B$6^(K$3-8)*INDEX(Assumptions!$B$25:$B$30,MIN(6,K$3-8+1)))</f>
        <v/>
      </c>
      <c r="L38" s="33">
        <f>IF(L$3&lt;8,0,$J$28*$B$6^(L$3-8)*INDEX(Assumptions!$B$25:$B$30,MIN(6,L$3-8+1)))</f>
        <v/>
      </c>
      <c r="M38" s="33">
        <f>IF(M$3&lt;8,0,$J$28*$B$6^(M$3-8)*INDEX(Assumptions!$B$25:$B$30,MIN(6,M$3-8+1)))</f>
        <v/>
      </c>
      <c r="N38" s="33">
        <f>IF(N$3&lt;8,0,$J$28*$B$6^(N$3-8)*INDEX(Assumptions!$B$25:$B$30,MIN(6,N$3-8+1)))</f>
        <v/>
      </c>
    </row>
    <row r="40">
      <c r="A40" s="20" t="inlineStr">
        <is>
          <t>Capacity from cohorts hired before each quarter (helper for the planned-hires row)</t>
        </is>
      </c>
      <c r="B40" s="21" t="n"/>
      <c r="C40" s="21" t="n"/>
      <c r="D40" s="21" t="n"/>
      <c r="E40" s="21" t="n"/>
      <c r="F40" s="21" t="n"/>
      <c r="G40" s="21" t="n"/>
      <c r="H40" s="21" t="n"/>
      <c r="I40" s="21" t="n"/>
      <c r="J40" s="21" t="n"/>
      <c r="K40" s="21" t="n"/>
      <c r="L40" s="21" t="n"/>
      <c r="M40" s="21" t="n"/>
      <c r="N40" s="21" t="n"/>
      <c r="O40" s="21" t="n"/>
      <c r="P40" s="21" t="n"/>
    </row>
    <row r="41">
      <c r="A41" t="inlineStr">
        <is>
          <t>Hired before Y1 Q1</t>
        </is>
      </c>
      <c r="C41" s="33" t="n">
        <v>0</v>
      </c>
      <c r="D41" s="33" t="n">
        <v>0</v>
      </c>
      <c r="E41" s="33" t="n">
        <v>0</v>
      </c>
      <c r="F41" s="33" t="n">
        <v>0</v>
      </c>
      <c r="G41" s="33" t="n">
        <v>0</v>
      </c>
      <c r="H41" s="33" t="n">
        <v>0</v>
      </c>
      <c r="I41" s="33" t="n">
        <v>0</v>
      </c>
      <c r="J41" s="33" t="n">
        <v>0</v>
      </c>
      <c r="K41" s="33" t="n">
        <v>0</v>
      </c>
      <c r="L41" s="33" t="n">
        <v>0</v>
      </c>
      <c r="M41" s="33" t="n">
        <v>0</v>
      </c>
      <c r="N41" s="33" t="n">
        <v>0</v>
      </c>
    </row>
    <row r="42">
      <c r="A42" t="inlineStr">
        <is>
          <t>Hired before Y1 Q2</t>
        </is>
      </c>
      <c r="C42" s="33">
        <f>C41+C31</f>
        <v/>
      </c>
      <c r="D42" s="33">
        <f>D41+D31</f>
        <v/>
      </c>
      <c r="E42" s="33">
        <f>E41+E31</f>
        <v/>
      </c>
      <c r="F42" s="33">
        <f>F41+F31</f>
        <v/>
      </c>
      <c r="G42" s="33">
        <f>G41+G31</f>
        <v/>
      </c>
      <c r="H42" s="33">
        <f>H41+H31</f>
        <v/>
      </c>
      <c r="I42" s="33">
        <f>I41+I31</f>
        <v/>
      </c>
      <c r="J42" s="33">
        <f>J41+J31</f>
        <v/>
      </c>
      <c r="K42" s="33">
        <f>K41+K31</f>
        <v/>
      </c>
      <c r="L42" s="33">
        <f>L41+L31</f>
        <v/>
      </c>
      <c r="M42" s="33">
        <f>M41+M31</f>
        <v/>
      </c>
      <c r="N42" s="33">
        <f>N41+N31</f>
        <v/>
      </c>
    </row>
    <row r="43">
      <c r="A43" t="inlineStr">
        <is>
          <t>Hired before Y1 Q3</t>
        </is>
      </c>
      <c r="C43" s="33">
        <f>C42+C32</f>
        <v/>
      </c>
      <c r="D43" s="33">
        <f>D42+D32</f>
        <v/>
      </c>
      <c r="E43" s="33">
        <f>E42+E32</f>
        <v/>
      </c>
      <c r="F43" s="33">
        <f>F42+F32</f>
        <v/>
      </c>
      <c r="G43" s="33">
        <f>G42+G32</f>
        <v/>
      </c>
      <c r="H43" s="33">
        <f>H42+H32</f>
        <v/>
      </c>
      <c r="I43" s="33">
        <f>I42+I32</f>
        <v/>
      </c>
      <c r="J43" s="33">
        <f>J42+J32</f>
        <v/>
      </c>
      <c r="K43" s="33">
        <f>K42+K32</f>
        <v/>
      </c>
      <c r="L43" s="33">
        <f>L42+L32</f>
        <v/>
      </c>
      <c r="M43" s="33">
        <f>M42+M32</f>
        <v/>
      </c>
      <c r="N43" s="33">
        <f>N42+N32</f>
        <v/>
      </c>
    </row>
    <row r="44">
      <c r="A44" t="inlineStr">
        <is>
          <t>Hired before Y1 Q4</t>
        </is>
      </c>
      <c r="C44" s="33">
        <f>C43+C33</f>
        <v/>
      </c>
      <c r="D44" s="33">
        <f>D43+D33</f>
        <v/>
      </c>
      <c r="E44" s="33">
        <f>E43+E33</f>
        <v/>
      </c>
      <c r="F44" s="33">
        <f>F43+F33</f>
        <v/>
      </c>
      <c r="G44" s="33">
        <f>G43+G33</f>
        <v/>
      </c>
      <c r="H44" s="33">
        <f>H43+H33</f>
        <v/>
      </c>
      <c r="I44" s="33">
        <f>I43+I33</f>
        <v/>
      </c>
      <c r="J44" s="33">
        <f>J43+J33</f>
        <v/>
      </c>
      <c r="K44" s="33">
        <f>K43+K33</f>
        <v/>
      </c>
      <c r="L44" s="33">
        <f>L43+L33</f>
        <v/>
      </c>
      <c r="M44" s="33">
        <f>M43+M33</f>
        <v/>
      </c>
      <c r="N44" s="33">
        <f>N43+N33</f>
        <v/>
      </c>
    </row>
    <row r="45">
      <c r="A45" t="inlineStr">
        <is>
          <t>Hired before Y2 Q1</t>
        </is>
      </c>
      <c r="C45" s="33">
        <f>C44+C34</f>
        <v/>
      </c>
      <c r="D45" s="33">
        <f>D44+D34</f>
        <v/>
      </c>
      <c r="E45" s="33">
        <f>E44+E34</f>
        <v/>
      </c>
      <c r="F45" s="33">
        <f>F44+F34</f>
        <v/>
      </c>
      <c r="G45" s="33">
        <f>G44+G34</f>
        <v/>
      </c>
      <c r="H45" s="33">
        <f>H44+H34</f>
        <v/>
      </c>
      <c r="I45" s="33">
        <f>I44+I34</f>
        <v/>
      </c>
      <c r="J45" s="33">
        <f>J44+J34</f>
        <v/>
      </c>
      <c r="K45" s="33">
        <f>K44+K34</f>
        <v/>
      </c>
      <c r="L45" s="33">
        <f>L44+L34</f>
        <v/>
      </c>
      <c r="M45" s="33">
        <f>M44+M34</f>
        <v/>
      </c>
      <c r="N45" s="33">
        <f>N44+N34</f>
        <v/>
      </c>
    </row>
    <row r="46">
      <c r="A46" t="inlineStr">
        <is>
          <t>Hired before Y2 Q2</t>
        </is>
      </c>
      <c r="C46" s="33">
        <f>C45+C35</f>
        <v/>
      </c>
      <c r="D46" s="33">
        <f>D45+D35</f>
        <v/>
      </c>
      <c r="E46" s="33">
        <f>E45+E35</f>
        <v/>
      </c>
      <c r="F46" s="33">
        <f>F45+F35</f>
        <v/>
      </c>
      <c r="G46" s="33">
        <f>G45+G35</f>
        <v/>
      </c>
      <c r="H46" s="33">
        <f>H45+H35</f>
        <v/>
      </c>
      <c r="I46" s="33">
        <f>I45+I35</f>
        <v/>
      </c>
      <c r="J46" s="33">
        <f>J45+J35</f>
        <v/>
      </c>
      <c r="K46" s="33">
        <f>K45+K35</f>
        <v/>
      </c>
      <c r="L46" s="33">
        <f>L45+L35</f>
        <v/>
      </c>
      <c r="M46" s="33">
        <f>M45+M35</f>
        <v/>
      </c>
      <c r="N46" s="33">
        <f>N45+N35</f>
        <v/>
      </c>
    </row>
    <row r="47">
      <c r="A47" t="inlineStr">
        <is>
          <t>Hired before Y2 Q3</t>
        </is>
      </c>
      <c r="C47" s="33">
        <f>C46+C36</f>
        <v/>
      </c>
      <c r="D47" s="33">
        <f>D46+D36</f>
        <v/>
      </c>
      <c r="E47" s="33">
        <f>E46+E36</f>
        <v/>
      </c>
      <c r="F47" s="33">
        <f>F46+F36</f>
        <v/>
      </c>
      <c r="G47" s="33">
        <f>G46+G36</f>
        <v/>
      </c>
      <c r="H47" s="33">
        <f>H46+H36</f>
        <v/>
      </c>
      <c r="I47" s="33">
        <f>I46+I36</f>
        <v/>
      </c>
      <c r="J47" s="33">
        <f>J46+J36</f>
        <v/>
      </c>
      <c r="K47" s="33">
        <f>K46+K36</f>
        <v/>
      </c>
      <c r="L47" s="33">
        <f>L46+L36</f>
        <v/>
      </c>
      <c r="M47" s="33">
        <f>M46+M36</f>
        <v/>
      </c>
      <c r="N47" s="33">
        <f>N46+N36</f>
        <v/>
      </c>
    </row>
    <row r="48">
      <c r="A48" t="inlineStr">
        <is>
          <t>Hired before Y2 Q4</t>
        </is>
      </c>
      <c r="C48" s="33">
        <f>C47+C37</f>
        <v/>
      </c>
      <c r="D48" s="33">
        <f>D47+D37</f>
        <v/>
      </c>
      <c r="E48" s="33">
        <f>E47+E37</f>
        <v/>
      </c>
      <c r="F48" s="33">
        <f>F47+F37</f>
        <v/>
      </c>
      <c r="G48" s="33">
        <f>G47+G37</f>
        <v/>
      </c>
      <c r="H48" s="33">
        <f>H47+H37</f>
        <v/>
      </c>
      <c r="I48" s="33">
        <f>I47+I37</f>
        <v/>
      </c>
      <c r="J48" s="33">
        <f>J47+J37</f>
        <v/>
      </c>
      <c r="K48" s="33">
        <f>K47+K37</f>
        <v/>
      </c>
      <c r="L48" s="33">
        <f>L47+L37</f>
        <v/>
      </c>
      <c r="M48" s="33">
        <f>M47+M37</f>
        <v/>
      </c>
      <c r="N48" s="33">
        <f>N47+N37</f>
        <v/>
      </c>
    </row>
    <row r="50">
      <c r="A50" s="20" t="inlineStr">
        <is>
          <t>Hire cohorts: heads still employed</t>
        </is>
      </c>
      <c r="B50" s="21" t="n"/>
      <c r="C50" s="21" t="n"/>
      <c r="D50" s="21" t="n"/>
      <c r="E50" s="21" t="n"/>
      <c r="F50" s="21" t="n"/>
      <c r="G50" s="21" t="n"/>
      <c r="H50" s="21" t="n"/>
      <c r="I50" s="21" t="n"/>
      <c r="J50" s="21" t="n"/>
      <c r="K50" s="21" t="n"/>
      <c r="L50" s="21" t="n"/>
      <c r="M50" s="21" t="n"/>
      <c r="N50" s="21" t="n"/>
      <c r="O50" s="21" t="n"/>
      <c r="P50" s="21" t="n"/>
    </row>
    <row r="51">
      <c r="A51" t="inlineStr">
        <is>
          <t>Hired in Y1 Q1</t>
        </is>
      </c>
      <c r="C51" s="10">
        <f>IF(C$3&lt;1,0,$C$28*$B$6^(C$3-1))</f>
        <v/>
      </c>
      <c r="D51" s="10">
        <f>IF(D$3&lt;1,0,$C$28*$B$6^(D$3-1))</f>
        <v/>
      </c>
      <c r="E51" s="10">
        <f>IF(E$3&lt;1,0,$C$28*$B$6^(E$3-1))</f>
        <v/>
      </c>
      <c r="F51" s="10">
        <f>IF(F$3&lt;1,0,$C$28*$B$6^(F$3-1))</f>
        <v/>
      </c>
      <c r="G51" s="10">
        <f>IF(G$3&lt;1,0,$C$28*$B$6^(G$3-1))</f>
        <v/>
      </c>
      <c r="H51" s="10">
        <f>IF(H$3&lt;1,0,$C$28*$B$6^(H$3-1))</f>
        <v/>
      </c>
      <c r="I51" s="10">
        <f>IF(I$3&lt;1,0,$C$28*$B$6^(I$3-1))</f>
        <v/>
      </c>
      <c r="J51" s="10">
        <f>IF(J$3&lt;1,0,$C$28*$B$6^(J$3-1))</f>
        <v/>
      </c>
    </row>
    <row r="52">
      <c r="A52" t="inlineStr">
        <is>
          <t>Hired in Y1 Q2</t>
        </is>
      </c>
      <c r="C52" s="10">
        <f>IF(C$3&lt;2,0,$D$28*$B$6^(C$3-2))</f>
        <v/>
      </c>
      <c r="D52" s="10">
        <f>IF(D$3&lt;2,0,$D$28*$B$6^(D$3-2))</f>
        <v/>
      </c>
      <c r="E52" s="10">
        <f>IF(E$3&lt;2,0,$D$28*$B$6^(E$3-2))</f>
        <v/>
      </c>
      <c r="F52" s="10">
        <f>IF(F$3&lt;2,0,$D$28*$B$6^(F$3-2))</f>
        <v/>
      </c>
      <c r="G52" s="10">
        <f>IF(G$3&lt;2,0,$D$28*$B$6^(G$3-2))</f>
        <v/>
      </c>
      <c r="H52" s="10">
        <f>IF(H$3&lt;2,0,$D$28*$B$6^(H$3-2))</f>
        <v/>
      </c>
      <c r="I52" s="10">
        <f>IF(I$3&lt;2,0,$D$28*$B$6^(I$3-2))</f>
        <v/>
      </c>
      <c r="J52" s="10">
        <f>IF(J$3&lt;2,0,$D$28*$B$6^(J$3-2))</f>
        <v/>
      </c>
    </row>
    <row r="53">
      <c r="A53" t="inlineStr">
        <is>
          <t>Hired in Y1 Q3</t>
        </is>
      </c>
      <c r="C53" s="10">
        <f>IF(C$3&lt;3,0,$E$28*$B$6^(C$3-3))</f>
        <v/>
      </c>
      <c r="D53" s="10">
        <f>IF(D$3&lt;3,0,$E$28*$B$6^(D$3-3))</f>
        <v/>
      </c>
      <c r="E53" s="10">
        <f>IF(E$3&lt;3,0,$E$28*$B$6^(E$3-3))</f>
        <v/>
      </c>
      <c r="F53" s="10">
        <f>IF(F$3&lt;3,0,$E$28*$B$6^(F$3-3))</f>
        <v/>
      </c>
      <c r="G53" s="10">
        <f>IF(G$3&lt;3,0,$E$28*$B$6^(G$3-3))</f>
        <v/>
      </c>
      <c r="H53" s="10">
        <f>IF(H$3&lt;3,0,$E$28*$B$6^(H$3-3))</f>
        <v/>
      </c>
      <c r="I53" s="10">
        <f>IF(I$3&lt;3,0,$E$28*$B$6^(I$3-3))</f>
        <v/>
      </c>
      <c r="J53" s="10">
        <f>IF(J$3&lt;3,0,$E$28*$B$6^(J$3-3))</f>
        <v/>
      </c>
    </row>
    <row r="54">
      <c r="A54" t="inlineStr">
        <is>
          <t>Hired in Y1 Q4</t>
        </is>
      </c>
      <c r="C54" s="10">
        <f>IF(C$3&lt;4,0,$F$28*$B$6^(C$3-4))</f>
        <v/>
      </c>
      <c r="D54" s="10">
        <f>IF(D$3&lt;4,0,$F$28*$B$6^(D$3-4))</f>
        <v/>
      </c>
      <c r="E54" s="10">
        <f>IF(E$3&lt;4,0,$F$28*$B$6^(E$3-4))</f>
        <v/>
      </c>
      <c r="F54" s="10">
        <f>IF(F$3&lt;4,0,$F$28*$B$6^(F$3-4))</f>
        <v/>
      </c>
      <c r="G54" s="10">
        <f>IF(G$3&lt;4,0,$F$28*$B$6^(G$3-4))</f>
        <v/>
      </c>
      <c r="H54" s="10">
        <f>IF(H$3&lt;4,0,$F$28*$B$6^(H$3-4))</f>
        <v/>
      </c>
      <c r="I54" s="10">
        <f>IF(I$3&lt;4,0,$F$28*$B$6^(I$3-4))</f>
        <v/>
      </c>
      <c r="J54" s="10">
        <f>IF(J$3&lt;4,0,$F$28*$B$6^(J$3-4))</f>
        <v/>
      </c>
    </row>
    <row r="55">
      <c r="A55" t="inlineStr">
        <is>
          <t>Hired in Y2 Q1</t>
        </is>
      </c>
      <c r="C55" s="10">
        <f>IF(C$3&lt;5,0,$G$28*$B$6^(C$3-5))</f>
        <v/>
      </c>
      <c r="D55" s="10">
        <f>IF(D$3&lt;5,0,$G$28*$B$6^(D$3-5))</f>
        <v/>
      </c>
      <c r="E55" s="10">
        <f>IF(E$3&lt;5,0,$G$28*$B$6^(E$3-5))</f>
        <v/>
      </c>
      <c r="F55" s="10">
        <f>IF(F$3&lt;5,0,$G$28*$B$6^(F$3-5))</f>
        <v/>
      </c>
      <c r="G55" s="10">
        <f>IF(G$3&lt;5,0,$G$28*$B$6^(G$3-5))</f>
        <v/>
      </c>
      <c r="H55" s="10">
        <f>IF(H$3&lt;5,0,$G$28*$B$6^(H$3-5))</f>
        <v/>
      </c>
      <c r="I55" s="10">
        <f>IF(I$3&lt;5,0,$G$28*$B$6^(I$3-5))</f>
        <v/>
      </c>
      <c r="J55" s="10">
        <f>IF(J$3&lt;5,0,$G$28*$B$6^(J$3-5))</f>
        <v/>
      </c>
    </row>
    <row r="56">
      <c r="A56" t="inlineStr">
        <is>
          <t>Hired in Y2 Q2</t>
        </is>
      </c>
      <c r="C56" s="10">
        <f>IF(C$3&lt;6,0,$H$28*$B$6^(C$3-6))</f>
        <v/>
      </c>
      <c r="D56" s="10">
        <f>IF(D$3&lt;6,0,$H$28*$B$6^(D$3-6))</f>
        <v/>
      </c>
      <c r="E56" s="10">
        <f>IF(E$3&lt;6,0,$H$28*$B$6^(E$3-6))</f>
        <v/>
      </c>
      <c r="F56" s="10">
        <f>IF(F$3&lt;6,0,$H$28*$B$6^(F$3-6))</f>
        <v/>
      </c>
      <c r="G56" s="10">
        <f>IF(G$3&lt;6,0,$H$28*$B$6^(G$3-6))</f>
        <v/>
      </c>
      <c r="H56" s="10">
        <f>IF(H$3&lt;6,0,$H$28*$B$6^(H$3-6))</f>
        <v/>
      </c>
      <c r="I56" s="10">
        <f>IF(I$3&lt;6,0,$H$28*$B$6^(I$3-6))</f>
        <v/>
      </c>
      <c r="J56" s="10">
        <f>IF(J$3&lt;6,0,$H$28*$B$6^(J$3-6))</f>
        <v/>
      </c>
    </row>
    <row r="57">
      <c r="A57" t="inlineStr">
        <is>
          <t>Hired in Y2 Q3</t>
        </is>
      </c>
      <c r="C57" s="10">
        <f>IF(C$3&lt;7,0,$I$28*$B$6^(C$3-7))</f>
        <v/>
      </c>
      <c r="D57" s="10">
        <f>IF(D$3&lt;7,0,$I$28*$B$6^(D$3-7))</f>
        <v/>
      </c>
      <c r="E57" s="10">
        <f>IF(E$3&lt;7,0,$I$28*$B$6^(E$3-7))</f>
        <v/>
      </c>
      <c r="F57" s="10">
        <f>IF(F$3&lt;7,0,$I$28*$B$6^(F$3-7))</f>
        <v/>
      </c>
      <c r="G57" s="10">
        <f>IF(G$3&lt;7,0,$I$28*$B$6^(G$3-7))</f>
        <v/>
      </c>
      <c r="H57" s="10">
        <f>IF(H$3&lt;7,0,$I$28*$B$6^(H$3-7))</f>
        <v/>
      </c>
      <c r="I57" s="10">
        <f>IF(I$3&lt;7,0,$I$28*$B$6^(I$3-7))</f>
        <v/>
      </c>
      <c r="J57" s="10">
        <f>IF(J$3&lt;7,0,$I$28*$B$6^(J$3-7))</f>
        <v/>
      </c>
    </row>
    <row r="58">
      <c r="A58" t="inlineStr">
        <is>
          <t>Hired in Y2 Q4</t>
        </is>
      </c>
      <c r="C58" s="10">
        <f>IF(C$3&lt;8,0,$J$28*$B$6^(C$3-8))</f>
        <v/>
      </c>
      <c r="D58" s="10">
        <f>IF(D$3&lt;8,0,$J$28*$B$6^(D$3-8))</f>
        <v/>
      </c>
      <c r="E58" s="10">
        <f>IF(E$3&lt;8,0,$J$28*$B$6^(E$3-8))</f>
        <v/>
      </c>
      <c r="F58" s="10">
        <f>IF(F$3&lt;8,0,$J$28*$B$6^(F$3-8))</f>
        <v/>
      </c>
      <c r="G58" s="10">
        <f>IF(G$3&lt;8,0,$J$28*$B$6^(G$3-8))</f>
        <v/>
      </c>
      <c r="H58" s="10">
        <f>IF(H$3&lt;8,0,$J$28*$B$6^(H$3-8))</f>
        <v/>
      </c>
      <c r="I58" s="10">
        <f>IF(I$3&lt;8,0,$J$28*$B$6^(I$3-8))</f>
        <v/>
      </c>
      <c r="J58" s="10">
        <f>IF(J$3&lt;8,0,$J$28*$B$6^(J$3-8))</f>
        <v/>
      </c>
    </row>
    <row r="60">
      <c r="A60" s="5" t="inlineStr">
        <is>
          <t>Result</t>
        </is>
      </c>
      <c r="B60" s="5" t="inlineStr"/>
      <c r="C60" s="5" t="inlineStr">
        <is>
          <t>Y1 Q1</t>
        </is>
      </c>
      <c r="D60" s="5" t="inlineStr">
        <is>
          <t>Y1 Q2</t>
        </is>
      </c>
      <c r="E60" s="5" t="inlineStr">
        <is>
          <t>Y1 Q3</t>
        </is>
      </c>
      <c r="F60" s="5" t="inlineStr">
        <is>
          <t>Y1 Q4</t>
        </is>
      </c>
      <c r="G60" s="5" t="inlineStr">
        <is>
          <t>Y2 Q1</t>
        </is>
      </c>
      <c r="H60" s="5" t="inlineStr">
        <is>
          <t>Y2 Q2</t>
        </is>
      </c>
      <c r="I60" s="5" t="inlineStr">
        <is>
          <t>Y2 Q3</t>
        </is>
      </c>
      <c r="J60" s="5" t="inlineStr">
        <is>
          <t>Y2 Q4</t>
        </is>
      </c>
      <c r="K60" s="5" t="inlineStr"/>
      <c r="L60" s="5" t="inlineStr"/>
      <c r="M60" s="5" t="inlineStr"/>
      <c r="N60" s="5" t="inlineStr"/>
      <c r="O60" s="5" t="inlineStr">
        <is>
          <t>Year 1</t>
        </is>
      </c>
      <c r="P60" s="5" t="inlineStr">
        <is>
          <t>Year 2</t>
        </is>
      </c>
    </row>
    <row r="61">
      <c r="A61" s="7" t="inlineStr">
        <is>
          <t>AE heads during the quarter</t>
        </is>
      </c>
      <c r="C61" s="10">
        <f>C23+SUM(C51:C58)</f>
        <v/>
      </c>
      <c r="D61" s="10">
        <f>D23+SUM(D51:D58)</f>
        <v/>
      </c>
      <c r="E61" s="10">
        <f>E23+SUM(E51:E58)</f>
        <v/>
      </c>
      <c r="F61" s="10">
        <f>F23+SUM(F51:F58)</f>
        <v/>
      </c>
      <c r="G61" s="10">
        <f>G23+SUM(G51:G58)</f>
        <v/>
      </c>
      <c r="H61" s="10">
        <f>H23+SUM(H51:H58)</f>
        <v/>
      </c>
      <c r="I61" s="10">
        <f>I23+SUM(I51:I58)</f>
        <v/>
      </c>
      <c r="J61" s="10">
        <f>J23+SUM(J51:J58)</f>
        <v/>
      </c>
      <c r="O61" s="10">
        <f>F61</f>
        <v/>
      </c>
      <c r="P61" s="10">
        <f>J61</f>
        <v/>
      </c>
    </row>
    <row r="62">
      <c r="A62" s="7" t="inlineStr">
        <is>
          <t>Expected AE departures</t>
        </is>
      </c>
      <c r="C62" s="10">
        <f>C61*(1-$B$6)</f>
        <v/>
      </c>
      <c r="D62" s="10">
        <f>D61*(1-$B$6)</f>
        <v/>
      </c>
      <c r="E62" s="10">
        <f>E61*(1-$B$6)</f>
        <v/>
      </c>
      <c r="F62" s="10">
        <f>F61*(1-$B$6)</f>
        <v/>
      </c>
      <c r="G62" s="10">
        <f>G61*(1-$B$6)</f>
        <v/>
      </c>
      <c r="H62" s="10">
        <f>H61*(1-$B$6)</f>
        <v/>
      </c>
      <c r="I62" s="10">
        <f>I61*(1-$B$6)</f>
        <v/>
      </c>
      <c r="J62" s="10">
        <f>J61*(1-$B$6)</f>
        <v/>
      </c>
      <c r="O62" s="10">
        <f>SUM(C62:F62)</f>
        <v/>
      </c>
      <c r="P62" s="10">
        <f>SUM(G62:J62)</f>
        <v/>
      </c>
    </row>
    <row r="63">
      <c r="A63" s="7" t="inlineStr">
        <is>
          <t>Capacity (full-quota AE equivalents)</t>
        </is>
      </c>
      <c r="C63" s="33">
        <f>C22+SUM(C31:C38)</f>
        <v/>
      </c>
      <c r="D63" s="33">
        <f>D22+SUM(D31:D38)</f>
        <v/>
      </c>
      <c r="E63" s="33">
        <f>E22+SUM(E31:E38)</f>
        <v/>
      </c>
      <c r="F63" s="33">
        <f>F22+SUM(F31:F38)</f>
        <v/>
      </c>
      <c r="G63" s="33">
        <f>G22+SUM(G31:G38)</f>
        <v/>
      </c>
      <c r="H63" s="33">
        <f>H22+SUM(H31:H38)</f>
        <v/>
      </c>
      <c r="I63" s="33">
        <f>I22+SUM(I31:I38)</f>
        <v/>
      </c>
      <c r="J63" s="33">
        <f>J22+SUM(J31:J38)</f>
        <v/>
      </c>
    </row>
    <row r="64">
      <c r="A64" s="7" t="inlineStr">
        <is>
          <t>Expected new-logo ARR the AEs can book</t>
        </is>
      </c>
      <c r="C64" s="6">
        <f>C63*C12</f>
        <v/>
      </c>
      <c r="D64" s="6">
        <f>D63*D12</f>
        <v/>
      </c>
      <c r="E64" s="6">
        <f>E63*E12</f>
        <v/>
      </c>
      <c r="F64" s="6">
        <f>F63*F12</f>
        <v/>
      </c>
      <c r="G64" s="6">
        <f>G63*G12</f>
        <v/>
      </c>
      <c r="H64" s="6">
        <f>H63*H12</f>
        <v/>
      </c>
      <c r="I64" s="6">
        <f>I63*I12</f>
        <v/>
      </c>
      <c r="J64" s="6">
        <f>J63*J12</f>
        <v/>
      </c>
      <c r="O64" s="6">
        <f>SUM(C64:F64)</f>
        <v/>
      </c>
      <c r="P64" s="6">
        <f>SUM(G64:J64)</f>
        <v/>
      </c>
    </row>
    <row r="65">
      <c r="A65" s="7" t="inlineStr">
        <is>
          <t>Gap (capacity - target)</t>
        </is>
      </c>
      <c r="C65" s="6">
        <f>C64-C11</f>
        <v/>
      </c>
      <c r="D65" s="6">
        <f>D64-D11</f>
        <v/>
      </c>
      <c r="E65" s="6">
        <f>E64-E11</f>
        <v/>
      </c>
      <c r="F65" s="6">
        <f>F64-F11</f>
        <v/>
      </c>
      <c r="G65" s="6">
        <f>G64-G11</f>
        <v/>
      </c>
      <c r="H65" s="6">
        <f>H64-H11</f>
        <v/>
      </c>
      <c r="I65" s="6">
        <f>I64-I11</f>
        <v/>
      </c>
      <c r="J65" s="6">
        <f>J64-J11</f>
        <v/>
      </c>
      <c r="O65" s="6">
        <f>O64-O11</f>
        <v/>
      </c>
      <c r="P65" s="6">
        <f>P64-P11</f>
        <v/>
      </c>
    </row>
    <row r="66">
      <c r="A66" s="7" t="inlineStr">
        <is>
          <t>Capacity as % of target</t>
        </is>
      </c>
      <c r="C66" s="9">
        <f>IFERROR(C64/C11,0)</f>
        <v/>
      </c>
      <c r="D66" s="9">
        <f>IFERROR(D64/D11,0)</f>
        <v/>
      </c>
      <c r="E66" s="9">
        <f>IFERROR(E64/E11,0)</f>
        <v/>
      </c>
      <c r="F66" s="9">
        <f>IFERROR(F64/F11,0)</f>
        <v/>
      </c>
      <c r="G66" s="9">
        <f>IFERROR(G64/G11,0)</f>
        <v/>
      </c>
      <c r="H66" s="9">
        <f>IFERROR(H64/H11,0)</f>
        <v/>
      </c>
      <c r="I66" s="9">
        <f>IFERROR(I64/I11,0)</f>
        <v/>
      </c>
      <c r="J66" s="9">
        <f>IFERROR(J64/J11,0)</f>
        <v/>
      </c>
      <c r="O66" s="9">
        <f>IFERROR(O64/O11,0)</f>
        <v/>
      </c>
      <c r="P66" s="9">
        <f>IFERROR(P64/P11,0)</f>
        <v/>
      </c>
    </row>
    <row r="67">
      <c r="A67" s="7" t="inlineStr">
        <is>
          <t>Backfill hires</t>
        </is>
      </c>
      <c r="C67" s="10">
        <f>0</f>
        <v/>
      </c>
      <c r="D67" s="10">
        <f>MIN(D28,C62)</f>
        <v/>
      </c>
      <c r="E67" s="10">
        <f>MIN(E28,D62)</f>
        <v/>
      </c>
      <c r="F67" s="10">
        <f>MIN(F28,E62)</f>
        <v/>
      </c>
      <c r="G67" s="10">
        <f>MIN(G28,F62)</f>
        <v/>
      </c>
      <c r="H67" s="10">
        <f>MIN(H28,G62)</f>
        <v/>
      </c>
      <c r="I67" s="10">
        <f>MIN(I28,H62)</f>
        <v/>
      </c>
      <c r="J67" s="10">
        <f>MIN(J28,I62)</f>
        <v/>
      </c>
      <c r="O67" s="10">
        <f>SUM(C67:F67)</f>
        <v/>
      </c>
      <c r="P67" s="10">
        <f>SUM(G67:J67)</f>
        <v/>
      </c>
    </row>
    <row r="68">
      <c r="A68" s="7" t="inlineStr">
        <is>
          <t>Growth hires</t>
        </is>
      </c>
      <c r="C68" s="10">
        <f>C28-C67</f>
        <v/>
      </c>
      <c r="D68" s="10">
        <f>D28-D67</f>
        <v/>
      </c>
      <c r="E68" s="10">
        <f>E28-E67</f>
        <v/>
      </c>
      <c r="F68" s="10">
        <f>F28-F67</f>
        <v/>
      </c>
      <c r="G68" s="10">
        <f>G28-G67</f>
        <v/>
      </c>
      <c r="H68" s="10">
        <f>H28-H67</f>
        <v/>
      </c>
      <c r="I68" s="10">
        <f>I28-I67</f>
        <v/>
      </c>
      <c r="J68" s="10">
        <f>J28-J67</f>
        <v/>
      </c>
      <c r="O68" s="10">
        <f>SUM(C68:F68)</f>
        <v/>
      </c>
      <c r="P68" s="10">
        <f>SUM(G68:J68)</f>
        <v/>
      </c>
    </row>
    <row r="70">
      <c r="A70" s="2" t="inlineStr">
        <is>
          <t>Year columns: heads = the last quarter; the other rows are sums. Ramp and quota are measured against full quota, so level 6 already holds planned attainment. Planned hires look 'lead' quarters ahead and net out earlier hires and this quarter's manual hires. Columns Y3 Q1 to Y3 Q4 hold the year 2 need flat so hires late in year 2 still see the capacity year 3 will need.</t>
        </is>
      </c>
    </row>
  </sheetData>
  <conditionalFormatting sqref="C65:J65">
    <cfRule type="expression" priority="1" dxfId="0">
      <formula>C65&lt;-0.5</formula>
    </cfRule>
  </conditionalFormatting>
  <conditionalFormatting sqref="O65:P65">
    <cfRule type="expression" priority="2" dxfId="0">
      <formula>O65&lt;-0.5</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4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6"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c r="A1" s="1" t="inlineStr">
        <is>
          <t>Teams: required heads, hires, backfills and fully loaded cost for every team</t>
        </is>
      </c>
    </row>
    <row r="2">
      <c r="A2" s="2" t="inlineStr">
        <is>
          <t>Blank template: same formulas, no company numbers. Yellow cells are inputs. Everything else is a formula.</t>
        </is>
      </c>
    </row>
    <row r="3">
      <c r="C3" s="27" t="n">
        <v>1</v>
      </c>
      <c r="D3" s="27" t="n">
        <v>2</v>
      </c>
      <c r="E3" s="27" t="n">
        <v>3</v>
      </c>
      <c r="F3" s="27" t="n">
        <v>4</v>
      </c>
      <c r="G3" s="27" t="n">
        <v>5</v>
      </c>
      <c r="H3" s="27" t="n">
        <v>6</v>
      </c>
      <c r="I3" s="27" t="n">
        <v>7</v>
      </c>
      <c r="J3" s="27" t="n">
        <v>8</v>
      </c>
    </row>
    <row r="4">
      <c r="C4" s="27" t="n">
        <v>1</v>
      </c>
      <c r="D4" s="27" t="n">
        <v>1</v>
      </c>
      <c r="E4" s="27" t="n">
        <v>1</v>
      </c>
      <c r="F4" s="27" t="n">
        <v>1</v>
      </c>
      <c r="G4" s="27" t="n">
        <v>2</v>
      </c>
      <c r="H4" s="27" t="n">
        <v>2</v>
      </c>
      <c r="I4" s="27" t="n">
        <v>2</v>
      </c>
      <c r="J4" s="27" t="n">
        <v>2</v>
      </c>
    </row>
    <row r="5">
      <c r="A5" s="5" t="inlineStr">
        <is>
          <t>Team and line</t>
        </is>
      </c>
      <c r="B5" s="5" t="inlineStr"/>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s="20" t="inlineStr">
        <is>
          <t>Account executives (from AE capacity)</t>
        </is>
      </c>
      <c r="B6" s="21" t="n"/>
      <c r="C6" s="21" t="n"/>
      <c r="D6" s="21" t="n"/>
      <c r="E6" s="21" t="n"/>
      <c r="F6" s="21" t="n"/>
      <c r="G6" s="21" t="n"/>
      <c r="H6" s="21" t="n"/>
      <c r="I6" s="21" t="n"/>
      <c r="J6" s="21" t="n"/>
      <c r="K6" s="21" t="n"/>
      <c r="L6" s="21" t="n"/>
    </row>
    <row r="7">
      <c r="A7" t="inlineStr">
        <is>
          <t>Heads during the quarter</t>
        </is>
      </c>
      <c r="C7" s="10">
        <f>'AE capacity'!C61</f>
        <v/>
      </c>
      <c r="D7" s="10">
        <f>'AE capacity'!D61</f>
        <v/>
      </c>
      <c r="E7" s="10">
        <f>'AE capacity'!E61</f>
        <v/>
      </c>
      <c r="F7" s="10">
        <f>'AE capacity'!F61</f>
        <v/>
      </c>
      <c r="G7" s="10">
        <f>'AE capacity'!G61</f>
        <v/>
      </c>
      <c r="H7" s="10">
        <f>'AE capacity'!H61</f>
        <v/>
      </c>
      <c r="I7" s="10">
        <f>'AE capacity'!I61</f>
        <v/>
      </c>
      <c r="J7" s="10">
        <f>'AE capacity'!J61</f>
        <v/>
      </c>
      <c r="K7" s="10">
        <f>F7</f>
        <v/>
      </c>
      <c r="L7" s="10">
        <f>J7</f>
        <v/>
      </c>
    </row>
    <row r="8">
      <c r="A8" t="inlineStr">
        <is>
          <t>Hires</t>
        </is>
      </c>
      <c r="C8" s="12">
        <f>'AE capacity'!C28</f>
        <v/>
      </c>
      <c r="D8" s="12">
        <f>'AE capacity'!D28</f>
        <v/>
      </c>
      <c r="E8" s="12">
        <f>'AE capacity'!E28</f>
        <v/>
      </c>
      <c r="F8" s="12">
        <f>'AE capacity'!F28</f>
        <v/>
      </c>
      <c r="G8" s="12">
        <f>'AE capacity'!G28</f>
        <v/>
      </c>
      <c r="H8" s="12">
        <f>'AE capacity'!H28</f>
        <v/>
      </c>
      <c r="I8" s="12">
        <f>'AE capacity'!I28</f>
        <v/>
      </c>
      <c r="J8" s="12">
        <f>'AE capacity'!J28</f>
        <v/>
      </c>
      <c r="K8" s="12">
        <f>SUM(C8:F8)</f>
        <v/>
      </c>
      <c r="L8" s="12">
        <f>SUM(G8:J8)</f>
        <v/>
      </c>
    </row>
    <row r="9">
      <c r="A9" t="inlineStr">
        <is>
          <t>Backfill hires</t>
        </is>
      </c>
      <c r="C9" s="10">
        <f>'AE capacity'!C67</f>
        <v/>
      </c>
      <c r="D9" s="10">
        <f>'AE capacity'!D67</f>
        <v/>
      </c>
      <c r="E9" s="10">
        <f>'AE capacity'!E67</f>
        <v/>
      </c>
      <c r="F9" s="10">
        <f>'AE capacity'!F67</f>
        <v/>
      </c>
      <c r="G9" s="10">
        <f>'AE capacity'!G67</f>
        <v/>
      </c>
      <c r="H9" s="10">
        <f>'AE capacity'!H67</f>
        <v/>
      </c>
      <c r="I9" s="10">
        <f>'AE capacity'!I67</f>
        <v/>
      </c>
      <c r="J9" s="10">
        <f>'AE capacity'!J67</f>
        <v/>
      </c>
      <c r="K9" s="10">
        <f>SUM(C9:F9)</f>
        <v/>
      </c>
      <c r="L9" s="10">
        <f>SUM(G9:J9)</f>
        <v/>
      </c>
    </row>
    <row r="10">
      <c r="A10" t="inlineStr">
        <is>
          <t>Growth hires</t>
        </is>
      </c>
      <c r="C10" s="10">
        <f>'AE capacity'!C68</f>
        <v/>
      </c>
      <c r="D10" s="10">
        <f>'AE capacity'!D68</f>
        <v/>
      </c>
      <c r="E10" s="10">
        <f>'AE capacity'!E68</f>
        <v/>
      </c>
      <c r="F10" s="10">
        <f>'AE capacity'!F68</f>
        <v/>
      </c>
      <c r="G10" s="10">
        <f>'AE capacity'!G68</f>
        <v/>
      </c>
      <c r="H10" s="10">
        <f>'AE capacity'!H68</f>
        <v/>
      </c>
      <c r="I10" s="10">
        <f>'AE capacity'!I68</f>
        <v/>
      </c>
      <c r="J10" s="10">
        <f>'AE capacity'!J68</f>
        <v/>
      </c>
      <c r="K10" s="10">
        <f>SUM(C10:F10)</f>
        <v/>
      </c>
      <c r="L10" s="10">
        <f>SUM(G10:J10)</f>
        <v/>
      </c>
    </row>
    <row r="11">
      <c r="A11" t="inlineStr">
        <is>
          <t>Expected departures</t>
        </is>
      </c>
      <c r="C11" s="10">
        <f>'AE capacity'!C62</f>
        <v/>
      </c>
      <c r="D11" s="10">
        <f>'AE capacity'!D62</f>
        <v/>
      </c>
      <c r="E11" s="10">
        <f>'AE capacity'!E62</f>
        <v/>
      </c>
      <c r="F11" s="10">
        <f>'AE capacity'!F62</f>
        <v/>
      </c>
      <c r="G11" s="10">
        <f>'AE capacity'!G62</f>
        <v/>
      </c>
      <c r="H11" s="10">
        <f>'AE capacity'!H62</f>
        <v/>
      </c>
      <c r="I11" s="10">
        <f>'AE capacity'!I62</f>
        <v/>
      </c>
      <c r="J11" s="10">
        <f>'AE capacity'!J62</f>
        <v/>
      </c>
      <c r="K11" s="10">
        <f>SUM(C11:F11)</f>
        <v/>
      </c>
      <c r="L11" s="10">
        <f>SUM(G11:J11)</f>
        <v/>
      </c>
    </row>
    <row r="12">
      <c r="A12" s="7" t="inlineStr">
        <is>
          <t>Fully loaded cost</t>
        </is>
      </c>
      <c r="C12" s="6">
        <f>C7*(N(Assumptions!$B$43)*(1+N(Assumptions!$B$15))^(C$4-1)*(1+N(Assumptions!$B$13))+N(Assumptions!$B$44)*(1+N(Assumptions!$B$15))^(C$4-1)+N(Assumptions!$B$14))/4+C8*N(Assumptions!$B$45)</f>
        <v/>
      </c>
      <c r="D12" s="6">
        <f>D7*(N(Assumptions!$B$43)*(1+N(Assumptions!$B$15))^(D$4-1)*(1+N(Assumptions!$B$13))+N(Assumptions!$B$44)*(1+N(Assumptions!$B$15))^(D$4-1)+N(Assumptions!$B$14))/4+D8*N(Assumptions!$B$45)</f>
        <v/>
      </c>
      <c r="E12" s="6">
        <f>E7*(N(Assumptions!$B$43)*(1+N(Assumptions!$B$15))^(E$4-1)*(1+N(Assumptions!$B$13))+N(Assumptions!$B$44)*(1+N(Assumptions!$B$15))^(E$4-1)+N(Assumptions!$B$14))/4+E8*N(Assumptions!$B$45)</f>
        <v/>
      </c>
      <c r="F12" s="6">
        <f>F7*(N(Assumptions!$B$43)*(1+N(Assumptions!$B$15))^(F$4-1)*(1+N(Assumptions!$B$13))+N(Assumptions!$B$44)*(1+N(Assumptions!$B$15))^(F$4-1)+N(Assumptions!$B$14))/4+F8*N(Assumptions!$B$45)</f>
        <v/>
      </c>
      <c r="G12" s="6">
        <f>G7*(N(Assumptions!$B$43)*(1+N(Assumptions!$B$15))^(G$4-1)*(1+N(Assumptions!$B$13))+N(Assumptions!$B$44)*(1+N(Assumptions!$B$15))^(G$4-1)+N(Assumptions!$B$14))/4+G8*N(Assumptions!$B$45)</f>
        <v/>
      </c>
      <c r="H12" s="6">
        <f>H7*(N(Assumptions!$B$43)*(1+N(Assumptions!$B$15))^(H$4-1)*(1+N(Assumptions!$B$13))+N(Assumptions!$B$44)*(1+N(Assumptions!$B$15))^(H$4-1)+N(Assumptions!$B$14))/4+H8*N(Assumptions!$B$45)</f>
        <v/>
      </c>
      <c r="I12" s="6">
        <f>I7*(N(Assumptions!$B$43)*(1+N(Assumptions!$B$15))^(I$4-1)*(1+N(Assumptions!$B$13))+N(Assumptions!$B$44)*(1+N(Assumptions!$B$15))^(I$4-1)+N(Assumptions!$B$14))/4+I8*N(Assumptions!$B$45)</f>
        <v/>
      </c>
      <c r="J12" s="6">
        <f>J7*(N(Assumptions!$B$43)*(1+N(Assumptions!$B$15))^(J$4-1)*(1+N(Assumptions!$B$13))+N(Assumptions!$B$44)*(1+N(Assumptions!$B$15))^(J$4-1)+N(Assumptions!$B$14))/4+J8*N(Assumptions!$B$45)</f>
        <v/>
      </c>
      <c r="K12" s="6">
        <f>SUM(C12:F12)</f>
        <v/>
      </c>
      <c r="L12" s="6">
        <f>SUM(G12:J12)</f>
        <v/>
      </c>
    </row>
    <row r="13"/>
    <row r="14">
      <c r="A14" s="20">
        <f>IF(Assumptions!A50="","Team 1",Assumptions!A50)</f>
        <v/>
      </c>
      <c r="B14" s="21" t="n"/>
      <c r="C14" s="21" t="n"/>
      <c r="D14" s="21" t="n"/>
      <c r="E14" s="21" t="n"/>
      <c r="F14" s="21" t="n"/>
      <c r="G14" s="21" t="n"/>
      <c r="H14" s="21" t="n"/>
      <c r="I14" s="21" t="n"/>
      <c r="J14" s="21" t="n"/>
      <c r="K14" s="21" t="n"/>
      <c r="L14" s="21" t="n"/>
    </row>
    <row r="15">
      <c r="A15" t="inlineStr">
        <is>
          <t>Required heads from the driver</t>
        </is>
      </c>
      <c r="C15" s="12">
        <f>IF(Assumptions!$D$50="",N(Assumptions!$E$50),IFERROR(ROUNDUP(ROUND(C$7,0)*Assumptions!$D$50,0),0))</f>
        <v/>
      </c>
      <c r="D15" s="12">
        <f>IF(Assumptions!$D$50="",N(Assumptions!$E$50),IFERROR(ROUNDUP(ROUND(D$7,0)*Assumptions!$D$50,0),0))</f>
        <v/>
      </c>
      <c r="E15" s="12">
        <f>IF(Assumptions!$D$50="",N(Assumptions!$E$50),IFERROR(ROUNDUP(ROUND(E$7,0)*Assumptions!$D$50,0),0))</f>
        <v/>
      </c>
      <c r="F15" s="12">
        <f>IF(Assumptions!$D$50="",N(Assumptions!$E$50),IFERROR(ROUNDUP(ROUND(F$7,0)*Assumptions!$D$50,0),0))</f>
        <v/>
      </c>
      <c r="G15" s="12">
        <f>IF(Assumptions!$D$50="",N(Assumptions!$E$50),IFERROR(ROUNDUP(ROUND(G$7,0)*Assumptions!$D$50,0),0))</f>
        <v/>
      </c>
      <c r="H15" s="12">
        <f>IF(Assumptions!$D$50="",N(Assumptions!$E$50),IFERROR(ROUNDUP(ROUND(H$7,0)*Assumptions!$D$50,0),0))</f>
        <v/>
      </c>
      <c r="I15" s="12">
        <f>IF(Assumptions!$D$50="",N(Assumptions!$E$50),IFERROR(ROUNDUP(ROUND(I$7,0)*Assumptions!$D$50,0),0))</f>
        <v/>
      </c>
      <c r="J15" s="12">
        <f>IF(Assumptions!$D$50="",N(Assumptions!$E$50),IFERROR(ROUNDUP(ROUND(J$7,0)*Assumptions!$D$50,0),0))</f>
        <v/>
      </c>
    </row>
    <row r="16">
      <c r="A16" t="inlineStr">
        <is>
          <t>Override required heads (optional)</t>
        </is>
      </c>
      <c r="C16" s="19" t="n"/>
      <c r="D16" s="19" t="n"/>
      <c r="E16" s="19" t="n"/>
      <c r="F16" s="19" t="n"/>
      <c r="G16" s="19" t="n"/>
      <c r="H16" s="19" t="n"/>
      <c r="I16" s="19" t="n"/>
      <c r="J16" s="19" t="n"/>
    </row>
    <row r="17">
      <c r="A17" t="inlineStr">
        <is>
          <t>Required heads used</t>
        </is>
      </c>
      <c r="C17" s="12">
        <f>IF(C16="",C15,C16)</f>
        <v/>
      </c>
      <c r="D17" s="12">
        <f>IF(D16="",D15,D16)</f>
        <v/>
      </c>
      <c r="E17" s="12">
        <f>IF(E16="",E15,E16)</f>
        <v/>
      </c>
      <c r="F17" s="12">
        <f>IF(F16="",F15,F16)</f>
        <v/>
      </c>
      <c r="G17" s="12">
        <f>IF(G16="",G15,G16)</f>
        <v/>
      </c>
      <c r="H17" s="12">
        <f>IF(H16="",H15,H16)</f>
        <v/>
      </c>
      <c r="I17" s="12">
        <f>IF(I16="",I15,I16)</f>
        <v/>
      </c>
      <c r="J17" s="12">
        <f>IF(J16="",J15,J16)</f>
        <v/>
      </c>
    </row>
    <row r="18">
      <c r="A18" t="inlineStr">
        <is>
          <t>Heads at the start of the quarter</t>
        </is>
      </c>
      <c r="C18" s="10">
        <f>N(Assumptions!$E$50)</f>
        <v/>
      </c>
      <c r="D18" s="10">
        <f>C22*$B$23</f>
        <v/>
      </c>
      <c r="E18" s="10">
        <f>D22*$B$23</f>
        <v/>
      </c>
      <c r="F18" s="10">
        <f>E22*$B$23</f>
        <v/>
      </c>
      <c r="G18" s="10">
        <f>F22*$B$23</f>
        <v/>
      </c>
      <c r="H18" s="10">
        <f>G22*$B$23</f>
        <v/>
      </c>
      <c r="I18" s="10">
        <f>H22*$B$23</f>
        <v/>
      </c>
      <c r="J18" s="10">
        <f>I22*$B$23</f>
        <v/>
      </c>
    </row>
    <row r="19">
      <c r="A19" t="inlineStr">
        <is>
          <t>Hires</t>
        </is>
      </c>
      <c r="C19" s="12">
        <f>MAX(0,ROUND(C17-C18,0))</f>
        <v/>
      </c>
      <c r="D19" s="12">
        <f>MAX(0,ROUND(D17-D18,0))</f>
        <v/>
      </c>
      <c r="E19" s="12">
        <f>MAX(0,ROUND(E17-E18,0))</f>
        <v/>
      </c>
      <c r="F19" s="12">
        <f>MAX(0,ROUND(F17-F18,0))</f>
        <v/>
      </c>
      <c r="G19" s="12">
        <f>MAX(0,ROUND(G17-G18,0))</f>
        <v/>
      </c>
      <c r="H19" s="12">
        <f>MAX(0,ROUND(H17-H18,0))</f>
        <v/>
      </c>
      <c r="I19" s="12">
        <f>MAX(0,ROUND(I17-I18,0))</f>
        <v/>
      </c>
      <c r="J19" s="12">
        <f>MAX(0,ROUND(J17-J18,0))</f>
        <v/>
      </c>
      <c r="K19" s="12">
        <f>SUM(C19:F19)</f>
        <v/>
      </c>
      <c r="L19" s="12">
        <f>SUM(G19:J19)</f>
        <v/>
      </c>
    </row>
    <row r="20">
      <c r="A20" t="inlineStr">
        <is>
          <t>Backfill hires</t>
        </is>
      </c>
      <c r="C20" s="10">
        <f>0</f>
        <v/>
      </c>
      <c r="D20" s="10">
        <f>MIN(D19,C23)</f>
        <v/>
      </c>
      <c r="E20" s="10">
        <f>MIN(E19,D23)</f>
        <v/>
      </c>
      <c r="F20" s="10">
        <f>MIN(F19,E23)</f>
        <v/>
      </c>
      <c r="G20" s="10">
        <f>MIN(G19,F23)</f>
        <v/>
      </c>
      <c r="H20" s="10">
        <f>MIN(H19,G23)</f>
        <v/>
      </c>
      <c r="I20" s="10">
        <f>MIN(I19,H23)</f>
        <v/>
      </c>
      <c r="J20" s="10">
        <f>MIN(J19,I23)</f>
        <v/>
      </c>
      <c r="K20" s="10">
        <f>SUM(C20:F20)</f>
        <v/>
      </c>
      <c r="L20" s="10">
        <f>SUM(G20:J20)</f>
        <v/>
      </c>
    </row>
    <row r="21">
      <c r="A21" t="inlineStr">
        <is>
          <t>Growth hires</t>
        </is>
      </c>
      <c r="C21" s="10">
        <f>C19-C20</f>
        <v/>
      </c>
      <c r="D21" s="10">
        <f>D19-D20</f>
        <v/>
      </c>
      <c r="E21" s="10">
        <f>E19-E20</f>
        <v/>
      </c>
      <c r="F21" s="10">
        <f>F19-F20</f>
        <v/>
      </c>
      <c r="G21" s="10">
        <f>G19-G20</f>
        <v/>
      </c>
      <c r="H21" s="10">
        <f>H19-H20</f>
        <v/>
      </c>
      <c r="I21" s="10">
        <f>I19-I20</f>
        <v/>
      </c>
      <c r="J21" s="10">
        <f>J19-J20</f>
        <v/>
      </c>
      <c r="K21" s="10">
        <f>SUM(C21:F21)</f>
        <v/>
      </c>
      <c r="L21" s="10">
        <f>SUM(G21:J21)</f>
        <v/>
      </c>
    </row>
    <row r="22">
      <c r="A22" t="inlineStr">
        <is>
          <t>Heads during the quarter</t>
        </is>
      </c>
      <c r="C22" s="10">
        <f>C18+C19</f>
        <v/>
      </c>
      <c r="D22" s="10">
        <f>D18+D19</f>
        <v/>
      </c>
      <c r="E22" s="10">
        <f>E18+E19</f>
        <v/>
      </c>
      <c r="F22" s="10">
        <f>F18+F19</f>
        <v/>
      </c>
      <c r="G22" s="10">
        <f>G18+G19</f>
        <v/>
      </c>
      <c r="H22" s="10">
        <f>H18+H19</f>
        <v/>
      </c>
      <c r="I22" s="10">
        <f>I18+I19</f>
        <v/>
      </c>
      <c r="J22" s="10">
        <f>J18+J19</f>
        <v/>
      </c>
      <c r="K22" s="10">
        <f>F22</f>
        <v/>
      </c>
      <c r="L22" s="10">
        <f>J22</f>
        <v/>
      </c>
    </row>
    <row r="23">
      <c r="A23" t="inlineStr">
        <is>
          <t>Expected departures</t>
        </is>
      </c>
      <c r="B23" s="34">
        <f>IFERROR((1-N(Assumptions!F50))^(1/4),1)</f>
        <v/>
      </c>
      <c r="C23" s="10">
        <f>C22*(1-$B$23)</f>
        <v/>
      </c>
      <c r="D23" s="10">
        <f>D22*(1-$B$23)</f>
        <v/>
      </c>
      <c r="E23" s="10">
        <f>E22*(1-$B$23)</f>
        <v/>
      </c>
      <c r="F23" s="10">
        <f>F22*(1-$B$23)</f>
        <v/>
      </c>
      <c r="G23" s="10">
        <f>G22*(1-$B$23)</f>
        <v/>
      </c>
      <c r="H23" s="10">
        <f>H22*(1-$B$23)</f>
        <v/>
      </c>
      <c r="I23" s="10">
        <f>I22*(1-$B$23)</f>
        <v/>
      </c>
      <c r="J23" s="10">
        <f>J22*(1-$B$23)</f>
        <v/>
      </c>
      <c r="K23" s="10">
        <f>SUM(C23:F23)</f>
        <v/>
      </c>
      <c r="L23" s="10">
        <f>SUM(G23:J23)</f>
        <v/>
      </c>
    </row>
    <row r="24">
      <c r="A24" s="7" t="inlineStr">
        <is>
          <t>Fully loaded cost</t>
        </is>
      </c>
      <c r="C24" s="6">
        <f>C22*(N(Assumptions!$G$50)*(1+N(Assumptions!$B$15))^(C$4-1)*(1+N(Assumptions!$B$13))+N(Assumptions!$H$50)*(1+N(Assumptions!$B$15))^(C$4-1)+N(Assumptions!$B$14))/4+C19*N(Assumptions!$I$50)</f>
        <v/>
      </c>
      <c r="D24" s="6">
        <f>D22*(N(Assumptions!$G$50)*(1+N(Assumptions!$B$15))^(D$4-1)*(1+N(Assumptions!$B$13))+N(Assumptions!$H$50)*(1+N(Assumptions!$B$15))^(D$4-1)+N(Assumptions!$B$14))/4+D19*N(Assumptions!$I$50)</f>
        <v/>
      </c>
      <c r="E24" s="6">
        <f>E22*(N(Assumptions!$G$50)*(1+N(Assumptions!$B$15))^(E$4-1)*(1+N(Assumptions!$B$13))+N(Assumptions!$H$50)*(1+N(Assumptions!$B$15))^(E$4-1)+N(Assumptions!$B$14))/4+E19*N(Assumptions!$I$50)</f>
        <v/>
      </c>
      <c r="F24" s="6">
        <f>F22*(N(Assumptions!$G$50)*(1+N(Assumptions!$B$15))^(F$4-1)*(1+N(Assumptions!$B$13))+N(Assumptions!$H$50)*(1+N(Assumptions!$B$15))^(F$4-1)+N(Assumptions!$B$14))/4+F19*N(Assumptions!$I$50)</f>
        <v/>
      </c>
      <c r="G24" s="6">
        <f>G22*(N(Assumptions!$G$50)*(1+N(Assumptions!$B$15))^(G$4-1)*(1+N(Assumptions!$B$13))+N(Assumptions!$H$50)*(1+N(Assumptions!$B$15))^(G$4-1)+N(Assumptions!$B$14))/4+G19*N(Assumptions!$I$50)</f>
        <v/>
      </c>
      <c r="H24" s="6">
        <f>H22*(N(Assumptions!$G$50)*(1+N(Assumptions!$B$15))^(H$4-1)*(1+N(Assumptions!$B$13))+N(Assumptions!$H$50)*(1+N(Assumptions!$B$15))^(H$4-1)+N(Assumptions!$B$14))/4+H19*N(Assumptions!$I$50)</f>
        <v/>
      </c>
      <c r="I24" s="6">
        <f>I22*(N(Assumptions!$G$50)*(1+N(Assumptions!$B$15))^(I$4-1)*(1+N(Assumptions!$B$13))+N(Assumptions!$H$50)*(1+N(Assumptions!$B$15))^(I$4-1)+N(Assumptions!$B$14))/4+I19*N(Assumptions!$I$50)</f>
        <v/>
      </c>
      <c r="J24" s="6">
        <f>J22*(N(Assumptions!$G$50)*(1+N(Assumptions!$B$15))^(J$4-1)*(1+N(Assumptions!$B$13))+N(Assumptions!$H$50)*(1+N(Assumptions!$B$15))^(J$4-1)+N(Assumptions!$B$14))/4+J19*N(Assumptions!$I$50)</f>
        <v/>
      </c>
      <c r="K24" s="6">
        <f>SUM(C24:F24)</f>
        <v/>
      </c>
      <c r="L24" s="6">
        <f>SUM(G24:J24)</f>
        <v/>
      </c>
    </row>
    <row r="25"/>
    <row r="26">
      <c r="A26" s="20">
        <f>IF(Assumptions!A51="","Team 2",Assumptions!A51)</f>
        <v/>
      </c>
      <c r="B26" s="21" t="n"/>
      <c r="C26" s="21" t="n"/>
      <c r="D26" s="21" t="n"/>
      <c r="E26" s="21" t="n"/>
      <c r="F26" s="21" t="n"/>
      <c r="G26" s="21" t="n"/>
      <c r="H26" s="21" t="n"/>
      <c r="I26" s="21" t="n"/>
      <c r="J26" s="21" t="n"/>
      <c r="K26" s="21" t="n"/>
      <c r="L26" s="21" t="n"/>
    </row>
    <row r="27">
      <c r="A27" t="inlineStr">
        <is>
          <t>Required heads from the driver</t>
        </is>
      </c>
      <c r="C27" s="12">
        <f>IF(Assumptions!$D$51="",N(Assumptions!$E$51),IFERROR(ROUNDUP(ROUND(C$7,0)/Assumptions!$D$51,0),0))</f>
        <v/>
      </c>
      <c r="D27" s="12">
        <f>IF(Assumptions!$D$51="",N(Assumptions!$E$51),IFERROR(ROUNDUP(ROUND(D$7,0)/Assumptions!$D$51,0),0))</f>
        <v/>
      </c>
      <c r="E27" s="12">
        <f>IF(Assumptions!$D$51="",N(Assumptions!$E$51),IFERROR(ROUNDUP(ROUND(E$7,0)/Assumptions!$D$51,0),0))</f>
        <v/>
      </c>
      <c r="F27" s="12">
        <f>IF(Assumptions!$D$51="",N(Assumptions!$E$51),IFERROR(ROUNDUP(ROUND(F$7,0)/Assumptions!$D$51,0),0))</f>
        <v/>
      </c>
      <c r="G27" s="12">
        <f>IF(Assumptions!$D$51="",N(Assumptions!$E$51),IFERROR(ROUNDUP(ROUND(G$7,0)/Assumptions!$D$51,0),0))</f>
        <v/>
      </c>
      <c r="H27" s="12">
        <f>IF(Assumptions!$D$51="",N(Assumptions!$E$51),IFERROR(ROUNDUP(ROUND(H$7,0)/Assumptions!$D$51,0),0))</f>
        <v/>
      </c>
      <c r="I27" s="12">
        <f>IF(Assumptions!$D$51="",N(Assumptions!$E$51),IFERROR(ROUNDUP(ROUND(I$7,0)/Assumptions!$D$51,0),0))</f>
        <v/>
      </c>
      <c r="J27" s="12">
        <f>IF(Assumptions!$D$51="",N(Assumptions!$E$51),IFERROR(ROUNDUP(ROUND(J$7,0)/Assumptions!$D$51,0),0))</f>
        <v/>
      </c>
    </row>
    <row r="28">
      <c r="A28" t="inlineStr">
        <is>
          <t>Override required heads (optional)</t>
        </is>
      </c>
      <c r="C28" s="19" t="n"/>
      <c r="D28" s="19" t="n"/>
      <c r="E28" s="19" t="n"/>
      <c r="F28" s="19" t="n"/>
      <c r="G28" s="19" t="n"/>
      <c r="H28" s="19" t="n"/>
      <c r="I28" s="19" t="n"/>
      <c r="J28" s="19" t="n"/>
    </row>
    <row r="29">
      <c r="A29" t="inlineStr">
        <is>
          <t>Required heads used</t>
        </is>
      </c>
      <c r="C29" s="12">
        <f>IF(C28="",C27,C28)</f>
        <v/>
      </c>
      <c r="D29" s="12">
        <f>IF(D28="",D27,D28)</f>
        <v/>
      </c>
      <c r="E29" s="12">
        <f>IF(E28="",E27,E28)</f>
        <v/>
      </c>
      <c r="F29" s="12">
        <f>IF(F28="",F27,F28)</f>
        <v/>
      </c>
      <c r="G29" s="12">
        <f>IF(G28="",G27,G28)</f>
        <v/>
      </c>
      <c r="H29" s="12">
        <f>IF(H28="",H27,H28)</f>
        <v/>
      </c>
      <c r="I29" s="12">
        <f>IF(I28="",I27,I28)</f>
        <v/>
      </c>
      <c r="J29" s="12">
        <f>IF(J28="",J27,J28)</f>
        <v/>
      </c>
    </row>
    <row r="30">
      <c r="A30" t="inlineStr">
        <is>
          <t>Heads at the start of the quarter</t>
        </is>
      </c>
      <c r="C30" s="10">
        <f>N(Assumptions!$E$51)</f>
        <v/>
      </c>
      <c r="D30" s="10">
        <f>C34*$B$35</f>
        <v/>
      </c>
      <c r="E30" s="10">
        <f>D34*$B$35</f>
        <v/>
      </c>
      <c r="F30" s="10">
        <f>E34*$B$35</f>
        <v/>
      </c>
      <c r="G30" s="10">
        <f>F34*$B$35</f>
        <v/>
      </c>
      <c r="H30" s="10">
        <f>G34*$B$35</f>
        <v/>
      </c>
      <c r="I30" s="10">
        <f>H34*$B$35</f>
        <v/>
      </c>
      <c r="J30" s="10">
        <f>I34*$B$35</f>
        <v/>
      </c>
    </row>
    <row r="31">
      <c r="A31" t="inlineStr">
        <is>
          <t>Hires</t>
        </is>
      </c>
      <c r="C31" s="12">
        <f>MAX(0,ROUND(C29-C30,0))</f>
        <v/>
      </c>
      <c r="D31" s="12">
        <f>MAX(0,ROUND(D29-D30,0))</f>
        <v/>
      </c>
      <c r="E31" s="12">
        <f>MAX(0,ROUND(E29-E30,0))</f>
        <v/>
      </c>
      <c r="F31" s="12">
        <f>MAX(0,ROUND(F29-F30,0))</f>
        <v/>
      </c>
      <c r="G31" s="12">
        <f>MAX(0,ROUND(G29-G30,0))</f>
        <v/>
      </c>
      <c r="H31" s="12">
        <f>MAX(0,ROUND(H29-H30,0))</f>
        <v/>
      </c>
      <c r="I31" s="12">
        <f>MAX(0,ROUND(I29-I30,0))</f>
        <v/>
      </c>
      <c r="J31" s="12">
        <f>MAX(0,ROUND(J29-J30,0))</f>
        <v/>
      </c>
      <c r="K31" s="12">
        <f>SUM(C31:F31)</f>
        <v/>
      </c>
      <c r="L31" s="12">
        <f>SUM(G31:J31)</f>
        <v/>
      </c>
    </row>
    <row r="32">
      <c r="A32" t="inlineStr">
        <is>
          <t>Backfill hires</t>
        </is>
      </c>
      <c r="C32" s="10">
        <f>0</f>
        <v/>
      </c>
      <c r="D32" s="10">
        <f>MIN(D31,C35)</f>
        <v/>
      </c>
      <c r="E32" s="10">
        <f>MIN(E31,D35)</f>
        <v/>
      </c>
      <c r="F32" s="10">
        <f>MIN(F31,E35)</f>
        <v/>
      </c>
      <c r="G32" s="10">
        <f>MIN(G31,F35)</f>
        <v/>
      </c>
      <c r="H32" s="10">
        <f>MIN(H31,G35)</f>
        <v/>
      </c>
      <c r="I32" s="10">
        <f>MIN(I31,H35)</f>
        <v/>
      </c>
      <c r="J32" s="10">
        <f>MIN(J31,I35)</f>
        <v/>
      </c>
      <c r="K32" s="10">
        <f>SUM(C32:F32)</f>
        <v/>
      </c>
      <c r="L32" s="10">
        <f>SUM(G32:J32)</f>
        <v/>
      </c>
    </row>
    <row r="33">
      <c r="A33" t="inlineStr">
        <is>
          <t>Growth hires</t>
        </is>
      </c>
      <c r="C33" s="10">
        <f>C31-C32</f>
        <v/>
      </c>
      <c r="D33" s="10">
        <f>D31-D32</f>
        <v/>
      </c>
      <c r="E33" s="10">
        <f>E31-E32</f>
        <v/>
      </c>
      <c r="F33" s="10">
        <f>F31-F32</f>
        <v/>
      </c>
      <c r="G33" s="10">
        <f>G31-G32</f>
        <v/>
      </c>
      <c r="H33" s="10">
        <f>H31-H32</f>
        <v/>
      </c>
      <c r="I33" s="10">
        <f>I31-I32</f>
        <v/>
      </c>
      <c r="J33" s="10">
        <f>J31-J32</f>
        <v/>
      </c>
      <c r="K33" s="10">
        <f>SUM(C33:F33)</f>
        <v/>
      </c>
      <c r="L33" s="10">
        <f>SUM(G33:J33)</f>
        <v/>
      </c>
    </row>
    <row r="34">
      <c r="A34" t="inlineStr">
        <is>
          <t>Heads during the quarter</t>
        </is>
      </c>
      <c r="C34" s="10">
        <f>C30+C31</f>
        <v/>
      </c>
      <c r="D34" s="10">
        <f>D30+D31</f>
        <v/>
      </c>
      <c r="E34" s="10">
        <f>E30+E31</f>
        <v/>
      </c>
      <c r="F34" s="10">
        <f>F30+F31</f>
        <v/>
      </c>
      <c r="G34" s="10">
        <f>G30+G31</f>
        <v/>
      </c>
      <c r="H34" s="10">
        <f>H30+H31</f>
        <v/>
      </c>
      <c r="I34" s="10">
        <f>I30+I31</f>
        <v/>
      </c>
      <c r="J34" s="10">
        <f>J30+J31</f>
        <v/>
      </c>
      <c r="K34" s="10">
        <f>F34</f>
        <v/>
      </c>
      <c r="L34" s="10">
        <f>J34</f>
        <v/>
      </c>
    </row>
    <row r="35">
      <c r="A35" t="inlineStr">
        <is>
          <t>Expected departures</t>
        </is>
      </c>
      <c r="B35" s="34">
        <f>IFERROR((1-N(Assumptions!F51))^(1/4),1)</f>
        <v/>
      </c>
      <c r="C35" s="10">
        <f>C34*(1-$B$35)</f>
        <v/>
      </c>
      <c r="D35" s="10">
        <f>D34*(1-$B$35)</f>
        <v/>
      </c>
      <c r="E35" s="10">
        <f>E34*(1-$B$35)</f>
        <v/>
      </c>
      <c r="F35" s="10">
        <f>F34*(1-$B$35)</f>
        <v/>
      </c>
      <c r="G35" s="10">
        <f>G34*(1-$B$35)</f>
        <v/>
      </c>
      <c r="H35" s="10">
        <f>H34*(1-$B$35)</f>
        <v/>
      </c>
      <c r="I35" s="10">
        <f>I34*(1-$B$35)</f>
        <v/>
      </c>
      <c r="J35" s="10">
        <f>J34*(1-$B$35)</f>
        <v/>
      </c>
      <c r="K35" s="10">
        <f>SUM(C35:F35)</f>
        <v/>
      </c>
      <c r="L35" s="10">
        <f>SUM(G35:J35)</f>
        <v/>
      </c>
    </row>
    <row r="36">
      <c r="A36" s="7" t="inlineStr">
        <is>
          <t>Fully loaded cost</t>
        </is>
      </c>
      <c r="C36" s="6">
        <f>C34*(N(Assumptions!$G$51)*(1+N(Assumptions!$B$15))^(C$4-1)*(1+N(Assumptions!$B$13))+N(Assumptions!$H$51)*(1+N(Assumptions!$B$15))^(C$4-1)+N(Assumptions!$B$14))/4+C31*N(Assumptions!$I$51)</f>
        <v/>
      </c>
      <c r="D36" s="6">
        <f>D34*(N(Assumptions!$G$51)*(1+N(Assumptions!$B$15))^(D$4-1)*(1+N(Assumptions!$B$13))+N(Assumptions!$H$51)*(1+N(Assumptions!$B$15))^(D$4-1)+N(Assumptions!$B$14))/4+D31*N(Assumptions!$I$51)</f>
        <v/>
      </c>
      <c r="E36" s="6">
        <f>E34*(N(Assumptions!$G$51)*(1+N(Assumptions!$B$15))^(E$4-1)*(1+N(Assumptions!$B$13))+N(Assumptions!$H$51)*(1+N(Assumptions!$B$15))^(E$4-1)+N(Assumptions!$B$14))/4+E31*N(Assumptions!$I$51)</f>
        <v/>
      </c>
      <c r="F36" s="6">
        <f>F34*(N(Assumptions!$G$51)*(1+N(Assumptions!$B$15))^(F$4-1)*(1+N(Assumptions!$B$13))+N(Assumptions!$H$51)*(1+N(Assumptions!$B$15))^(F$4-1)+N(Assumptions!$B$14))/4+F31*N(Assumptions!$I$51)</f>
        <v/>
      </c>
      <c r="G36" s="6">
        <f>G34*(N(Assumptions!$G$51)*(1+N(Assumptions!$B$15))^(G$4-1)*(1+N(Assumptions!$B$13))+N(Assumptions!$H$51)*(1+N(Assumptions!$B$15))^(G$4-1)+N(Assumptions!$B$14))/4+G31*N(Assumptions!$I$51)</f>
        <v/>
      </c>
      <c r="H36" s="6">
        <f>H34*(N(Assumptions!$G$51)*(1+N(Assumptions!$B$15))^(H$4-1)*(1+N(Assumptions!$B$13))+N(Assumptions!$H$51)*(1+N(Assumptions!$B$15))^(H$4-1)+N(Assumptions!$B$14))/4+H31*N(Assumptions!$I$51)</f>
        <v/>
      </c>
      <c r="I36" s="6">
        <f>I34*(N(Assumptions!$G$51)*(1+N(Assumptions!$B$15))^(I$4-1)*(1+N(Assumptions!$B$13))+N(Assumptions!$H$51)*(1+N(Assumptions!$B$15))^(I$4-1)+N(Assumptions!$B$14))/4+I31*N(Assumptions!$I$51)</f>
        <v/>
      </c>
      <c r="J36" s="6">
        <f>J34*(N(Assumptions!$G$51)*(1+N(Assumptions!$B$15))^(J$4-1)*(1+N(Assumptions!$B$13))+N(Assumptions!$H$51)*(1+N(Assumptions!$B$15))^(J$4-1)+N(Assumptions!$B$14))/4+J31*N(Assumptions!$I$51)</f>
        <v/>
      </c>
      <c r="K36" s="6">
        <f>SUM(C36:F36)</f>
        <v/>
      </c>
      <c r="L36" s="6">
        <f>SUM(G36:J36)</f>
        <v/>
      </c>
    </row>
    <row r="37"/>
    <row r="38">
      <c r="A38" s="20">
        <f>IF(Assumptions!A52="","Team 3",Assumptions!A52)</f>
        <v/>
      </c>
      <c r="B38" s="21" t="n"/>
      <c r="C38" s="21" t="n"/>
      <c r="D38" s="21" t="n"/>
      <c r="E38" s="21" t="n"/>
      <c r="F38" s="21" t="n"/>
      <c r="G38" s="21" t="n"/>
      <c r="H38" s="21" t="n"/>
      <c r="I38" s="21" t="n"/>
      <c r="J38" s="21" t="n"/>
      <c r="K38" s="21" t="n"/>
      <c r="L38" s="21" t="n"/>
    </row>
    <row r="39">
      <c r="A39" t="inlineStr">
        <is>
          <t>Required heads from the driver</t>
        </is>
      </c>
      <c r="C39" s="12">
        <f>IF(Assumptions!$D$52="",N(Assumptions!$E$52),IFERROR(ROUNDUP(ROUND(C$7,0)/Assumptions!$D$52,0),0))</f>
        <v/>
      </c>
      <c r="D39" s="12">
        <f>IF(Assumptions!$D$52="",N(Assumptions!$E$52),IFERROR(ROUNDUP(ROUND(D$7,0)/Assumptions!$D$52,0),0))</f>
        <v/>
      </c>
      <c r="E39" s="12">
        <f>IF(Assumptions!$D$52="",N(Assumptions!$E$52),IFERROR(ROUNDUP(ROUND(E$7,0)/Assumptions!$D$52,0),0))</f>
        <v/>
      </c>
      <c r="F39" s="12">
        <f>IF(Assumptions!$D$52="",N(Assumptions!$E$52),IFERROR(ROUNDUP(ROUND(F$7,0)/Assumptions!$D$52,0),0))</f>
        <v/>
      </c>
      <c r="G39" s="12">
        <f>IF(Assumptions!$D$52="",N(Assumptions!$E$52),IFERROR(ROUNDUP(ROUND(G$7,0)/Assumptions!$D$52,0),0))</f>
        <v/>
      </c>
      <c r="H39" s="12">
        <f>IF(Assumptions!$D$52="",N(Assumptions!$E$52),IFERROR(ROUNDUP(ROUND(H$7,0)/Assumptions!$D$52,0),0))</f>
        <v/>
      </c>
      <c r="I39" s="12">
        <f>IF(Assumptions!$D$52="",N(Assumptions!$E$52),IFERROR(ROUNDUP(ROUND(I$7,0)/Assumptions!$D$52,0),0))</f>
        <v/>
      </c>
      <c r="J39" s="12">
        <f>IF(Assumptions!$D$52="",N(Assumptions!$E$52),IFERROR(ROUNDUP(ROUND(J$7,0)/Assumptions!$D$52,0),0))</f>
        <v/>
      </c>
    </row>
    <row r="40">
      <c r="A40" t="inlineStr">
        <is>
          <t>Override required heads (optional)</t>
        </is>
      </c>
      <c r="C40" s="19" t="n"/>
      <c r="D40" s="19" t="n"/>
      <c r="E40" s="19" t="n"/>
      <c r="F40" s="19" t="n"/>
      <c r="G40" s="19" t="n"/>
      <c r="H40" s="19" t="n"/>
      <c r="I40" s="19" t="n"/>
      <c r="J40" s="19" t="n"/>
    </row>
    <row r="41">
      <c r="A41" t="inlineStr">
        <is>
          <t>Required heads used</t>
        </is>
      </c>
      <c r="C41" s="12">
        <f>IF(C40="",C39,C40)</f>
        <v/>
      </c>
      <c r="D41" s="12">
        <f>IF(D40="",D39,D40)</f>
        <v/>
      </c>
      <c r="E41" s="12">
        <f>IF(E40="",E39,E40)</f>
        <v/>
      </c>
      <c r="F41" s="12">
        <f>IF(F40="",F39,F40)</f>
        <v/>
      </c>
      <c r="G41" s="12">
        <f>IF(G40="",G39,G40)</f>
        <v/>
      </c>
      <c r="H41" s="12">
        <f>IF(H40="",H39,H40)</f>
        <v/>
      </c>
      <c r="I41" s="12">
        <f>IF(I40="",I39,I40)</f>
        <v/>
      </c>
      <c r="J41" s="12">
        <f>IF(J40="",J39,J40)</f>
        <v/>
      </c>
    </row>
    <row r="42">
      <c r="A42" t="inlineStr">
        <is>
          <t>Heads at the start of the quarter</t>
        </is>
      </c>
      <c r="C42" s="10">
        <f>N(Assumptions!$E$52)</f>
        <v/>
      </c>
      <c r="D42" s="10">
        <f>C46*$B$47</f>
        <v/>
      </c>
      <c r="E42" s="10">
        <f>D46*$B$47</f>
        <v/>
      </c>
      <c r="F42" s="10">
        <f>E46*$B$47</f>
        <v/>
      </c>
      <c r="G42" s="10">
        <f>F46*$B$47</f>
        <v/>
      </c>
      <c r="H42" s="10">
        <f>G46*$B$47</f>
        <v/>
      </c>
      <c r="I42" s="10">
        <f>H46*$B$47</f>
        <v/>
      </c>
      <c r="J42" s="10">
        <f>I46*$B$47</f>
        <v/>
      </c>
    </row>
    <row r="43">
      <c r="A43" t="inlineStr">
        <is>
          <t>Hires</t>
        </is>
      </c>
      <c r="C43" s="12">
        <f>MAX(0,ROUND(C41-C42,0))</f>
        <v/>
      </c>
      <c r="D43" s="12">
        <f>MAX(0,ROUND(D41-D42,0))</f>
        <v/>
      </c>
      <c r="E43" s="12">
        <f>MAX(0,ROUND(E41-E42,0))</f>
        <v/>
      </c>
      <c r="F43" s="12">
        <f>MAX(0,ROUND(F41-F42,0))</f>
        <v/>
      </c>
      <c r="G43" s="12">
        <f>MAX(0,ROUND(G41-G42,0))</f>
        <v/>
      </c>
      <c r="H43" s="12">
        <f>MAX(0,ROUND(H41-H42,0))</f>
        <v/>
      </c>
      <c r="I43" s="12">
        <f>MAX(0,ROUND(I41-I42,0))</f>
        <v/>
      </c>
      <c r="J43" s="12">
        <f>MAX(0,ROUND(J41-J42,0))</f>
        <v/>
      </c>
      <c r="K43" s="12">
        <f>SUM(C43:F43)</f>
        <v/>
      </c>
      <c r="L43" s="12">
        <f>SUM(G43:J43)</f>
        <v/>
      </c>
    </row>
    <row r="44">
      <c r="A44" t="inlineStr">
        <is>
          <t>Backfill hires</t>
        </is>
      </c>
      <c r="C44" s="10">
        <f>0</f>
        <v/>
      </c>
      <c r="D44" s="10">
        <f>MIN(D43,C47)</f>
        <v/>
      </c>
      <c r="E44" s="10">
        <f>MIN(E43,D47)</f>
        <v/>
      </c>
      <c r="F44" s="10">
        <f>MIN(F43,E47)</f>
        <v/>
      </c>
      <c r="G44" s="10">
        <f>MIN(G43,F47)</f>
        <v/>
      </c>
      <c r="H44" s="10">
        <f>MIN(H43,G47)</f>
        <v/>
      </c>
      <c r="I44" s="10">
        <f>MIN(I43,H47)</f>
        <v/>
      </c>
      <c r="J44" s="10">
        <f>MIN(J43,I47)</f>
        <v/>
      </c>
      <c r="K44" s="10">
        <f>SUM(C44:F44)</f>
        <v/>
      </c>
      <c r="L44" s="10">
        <f>SUM(G44:J44)</f>
        <v/>
      </c>
    </row>
    <row r="45">
      <c r="A45" t="inlineStr">
        <is>
          <t>Growth hires</t>
        </is>
      </c>
      <c r="C45" s="10">
        <f>C43-C44</f>
        <v/>
      </c>
      <c r="D45" s="10">
        <f>D43-D44</f>
        <v/>
      </c>
      <c r="E45" s="10">
        <f>E43-E44</f>
        <v/>
      </c>
      <c r="F45" s="10">
        <f>F43-F44</f>
        <v/>
      </c>
      <c r="G45" s="10">
        <f>G43-G44</f>
        <v/>
      </c>
      <c r="H45" s="10">
        <f>H43-H44</f>
        <v/>
      </c>
      <c r="I45" s="10">
        <f>I43-I44</f>
        <v/>
      </c>
      <c r="J45" s="10">
        <f>J43-J44</f>
        <v/>
      </c>
      <c r="K45" s="10">
        <f>SUM(C45:F45)</f>
        <v/>
      </c>
      <c r="L45" s="10">
        <f>SUM(G45:J45)</f>
        <v/>
      </c>
    </row>
    <row r="46">
      <c r="A46" t="inlineStr">
        <is>
          <t>Heads during the quarter</t>
        </is>
      </c>
      <c r="C46" s="10">
        <f>C42+C43</f>
        <v/>
      </c>
      <c r="D46" s="10">
        <f>D42+D43</f>
        <v/>
      </c>
      <c r="E46" s="10">
        <f>E42+E43</f>
        <v/>
      </c>
      <c r="F46" s="10">
        <f>F42+F43</f>
        <v/>
      </c>
      <c r="G46" s="10">
        <f>G42+G43</f>
        <v/>
      </c>
      <c r="H46" s="10">
        <f>H42+H43</f>
        <v/>
      </c>
      <c r="I46" s="10">
        <f>I42+I43</f>
        <v/>
      </c>
      <c r="J46" s="10">
        <f>J42+J43</f>
        <v/>
      </c>
      <c r="K46" s="10">
        <f>F46</f>
        <v/>
      </c>
      <c r="L46" s="10">
        <f>J46</f>
        <v/>
      </c>
    </row>
    <row r="47">
      <c r="A47" t="inlineStr">
        <is>
          <t>Expected departures</t>
        </is>
      </c>
      <c r="B47" s="34">
        <f>IFERROR((1-N(Assumptions!F52))^(1/4),1)</f>
        <v/>
      </c>
      <c r="C47" s="10">
        <f>C46*(1-$B$47)</f>
        <v/>
      </c>
      <c r="D47" s="10">
        <f>D46*(1-$B$47)</f>
        <v/>
      </c>
      <c r="E47" s="10">
        <f>E46*(1-$B$47)</f>
        <v/>
      </c>
      <c r="F47" s="10">
        <f>F46*(1-$B$47)</f>
        <v/>
      </c>
      <c r="G47" s="10">
        <f>G46*(1-$B$47)</f>
        <v/>
      </c>
      <c r="H47" s="10">
        <f>H46*(1-$B$47)</f>
        <v/>
      </c>
      <c r="I47" s="10">
        <f>I46*(1-$B$47)</f>
        <v/>
      </c>
      <c r="J47" s="10">
        <f>J46*(1-$B$47)</f>
        <v/>
      </c>
      <c r="K47" s="10">
        <f>SUM(C47:F47)</f>
        <v/>
      </c>
      <c r="L47" s="10">
        <f>SUM(G47:J47)</f>
        <v/>
      </c>
    </row>
    <row r="48">
      <c r="A48" s="7" t="inlineStr">
        <is>
          <t>Fully loaded cost</t>
        </is>
      </c>
      <c r="C48" s="6">
        <f>C46*(N(Assumptions!$G$52)*(1+N(Assumptions!$B$15))^(C$4-1)*(1+N(Assumptions!$B$13))+N(Assumptions!$H$52)*(1+N(Assumptions!$B$15))^(C$4-1)+N(Assumptions!$B$14))/4+C43*N(Assumptions!$I$52)</f>
        <v/>
      </c>
      <c r="D48" s="6">
        <f>D46*(N(Assumptions!$G$52)*(1+N(Assumptions!$B$15))^(D$4-1)*(1+N(Assumptions!$B$13))+N(Assumptions!$H$52)*(1+N(Assumptions!$B$15))^(D$4-1)+N(Assumptions!$B$14))/4+D43*N(Assumptions!$I$52)</f>
        <v/>
      </c>
      <c r="E48" s="6">
        <f>E46*(N(Assumptions!$G$52)*(1+N(Assumptions!$B$15))^(E$4-1)*(1+N(Assumptions!$B$13))+N(Assumptions!$H$52)*(1+N(Assumptions!$B$15))^(E$4-1)+N(Assumptions!$B$14))/4+E43*N(Assumptions!$I$52)</f>
        <v/>
      </c>
      <c r="F48" s="6">
        <f>F46*(N(Assumptions!$G$52)*(1+N(Assumptions!$B$15))^(F$4-1)*(1+N(Assumptions!$B$13))+N(Assumptions!$H$52)*(1+N(Assumptions!$B$15))^(F$4-1)+N(Assumptions!$B$14))/4+F43*N(Assumptions!$I$52)</f>
        <v/>
      </c>
      <c r="G48" s="6">
        <f>G46*(N(Assumptions!$G$52)*(1+N(Assumptions!$B$15))^(G$4-1)*(1+N(Assumptions!$B$13))+N(Assumptions!$H$52)*(1+N(Assumptions!$B$15))^(G$4-1)+N(Assumptions!$B$14))/4+G43*N(Assumptions!$I$52)</f>
        <v/>
      </c>
      <c r="H48" s="6">
        <f>H46*(N(Assumptions!$G$52)*(1+N(Assumptions!$B$15))^(H$4-1)*(1+N(Assumptions!$B$13))+N(Assumptions!$H$52)*(1+N(Assumptions!$B$15))^(H$4-1)+N(Assumptions!$B$14))/4+H43*N(Assumptions!$I$52)</f>
        <v/>
      </c>
      <c r="I48" s="6">
        <f>I46*(N(Assumptions!$G$52)*(1+N(Assumptions!$B$15))^(I$4-1)*(1+N(Assumptions!$B$13))+N(Assumptions!$H$52)*(1+N(Assumptions!$B$15))^(I$4-1)+N(Assumptions!$B$14))/4+I43*N(Assumptions!$I$52)</f>
        <v/>
      </c>
      <c r="J48" s="6">
        <f>J46*(N(Assumptions!$G$52)*(1+N(Assumptions!$B$15))^(J$4-1)*(1+N(Assumptions!$B$13))+N(Assumptions!$H$52)*(1+N(Assumptions!$B$15))^(J$4-1)+N(Assumptions!$B$14))/4+J43*N(Assumptions!$I$52)</f>
        <v/>
      </c>
      <c r="K48" s="6">
        <f>SUM(C48:F48)</f>
        <v/>
      </c>
      <c r="L48" s="6">
        <f>SUM(G48:J48)</f>
        <v/>
      </c>
    </row>
    <row r="49"/>
    <row r="50">
      <c r="A50" s="20">
        <f>IF(Assumptions!A53="","Team 4",Assumptions!A53)</f>
        <v/>
      </c>
      <c r="B50" s="21" t="n"/>
      <c r="C50" s="21" t="n"/>
      <c r="D50" s="21" t="n"/>
      <c r="E50" s="21" t="n"/>
      <c r="F50" s="21" t="n"/>
      <c r="G50" s="21" t="n"/>
      <c r="H50" s="21" t="n"/>
      <c r="I50" s="21" t="n"/>
      <c r="J50" s="21" t="n"/>
      <c r="K50" s="21" t="n"/>
      <c r="L50" s="21" t="n"/>
    </row>
    <row r="51">
      <c r="A51" t="inlineStr">
        <is>
          <t>Required heads from the driver</t>
        </is>
      </c>
      <c r="C51" s="12">
        <f>IF(Assumptions!$D$53="",N(Assumptions!$E$53),IFERROR(ROUNDUP(ROUND(C$7,0)*Assumptions!$D$53,0),0))</f>
        <v/>
      </c>
      <c r="D51" s="12">
        <f>IF(Assumptions!$D$53="",N(Assumptions!$E$53),IFERROR(ROUNDUP(ROUND(D$7,0)*Assumptions!$D$53,0),0))</f>
        <v/>
      </c>
      <c r="E51" s="12">
        <f>IF(Assumptions!$D$53="",N(Assumptions!$E$53),IFERROR(ROUNDUP(ROUND(E$7,0)*Assumptions!$D$53,0),0))</f>
        <v/>
      </c>
      <c r="F51" s="12">
        <f>IF(Assumptions!$D$53="",N(Assumptions!$E$53),IFERROR(ROUNDUP(ROUND(F$7,0)*Assumptions!$D$53,0),0))</f>
        <v/>
      </c>
      <c r="G51" s="12">
        <f>IF(Assumptions!$D$53="",N(Assumptions!$E$53),IFERROR(ROUNDUP(ROUND(G$7,0)*Assumptions!$D$53,0),0))</f>
        <v/>
      </c>
      <c r="H51" s="12">
        <f>IF(Assumptions!$D$53="",N(Assumptions!$E$53),IFERROR(ROUNDUP(ROUND(H$7,0)*Assumptions!$D$53,0),0))</f>
        <v/>
      </c>
      <c r="I51" s="12">
        <f>IF(Assumptions!$D$53="",N(Assumptions!$E$53),IFERROR(ROUNDUP(ROUND(I$7,0)*Assumptions!$D$53,0),0))</f>
        <v/>
      </c>
      <c r="J51" s="12">
        <f>IF(Assumptions!$D$53="",N(Assumptions!$E$53),IFERROR(ROUNDUP(ROUND(J$7,0)*Assumptions!$D$53,0),0))</f>
        <v/>
      </c>
    </row>
    <row r="52">
      <c r="A52" t="inlineStr">
        <is>
          <t>Override required heads (optional)</t>
        </is>
      </c>
      <c r="C52" s="19" t="n"/>
      <c r="D52" s="19" t="n"/>
      <c r="E52" s="19" t="n"/>
      <c r="F52" s="19" t="n"/>
      <c r="G52" s="19" t="n"/>
      <c r="H52" s="19" t="n"/>
      <c r="I52" s="19" t="n"/>
      <c r="J52" s="19" t="n"/>
    </row>
    <row r="53">
      <c r="A53" t="inlineStr">
        <is>
          <t>Required heads used</t>
        </is>
      </c>
      <c r="C53" s="12">
        <f>IF(C52="",C51,C52)</f>
        <v/>
      </c>
      <c r="D53" s="12">
        <f>IF(D52="",D51,D52)</f>
        <v/>
      </c>
      <c r="E53" s="12">
        <f>IF(E52="",E51,E52)</f>
        <v/>
      </c>
      <c r="F53" s="12">
        <f>IF(F52="",F51,F52)</f>
        <v/>
      </c>
      <c r="G53" s="12">
        <f>IF(G52="",G51,G52)</f>
        <v/>
      </c>
      <c r="H53" s="12">
        <f>IF(H52="",H51,H52)</f>
        <v/>
      </c>
      <c r="I53" s="12">
        <f>IF(I52="",I51,I52)</f>
        <v/>
      </c>
      <c r="J53" s="12">
        <f>IF(J52="",J51,J52)</f>
        <v/>
      </c>
    </row>
    <row r="54">
      <c r="A54" t="inlineStr">
        <is>
          <t>Heads at the start of the quarter</t>
        </is>
      </c>
      <c r="C54" s="10">
        <f>N(Assumptions!$E$53)</f>
        <v/>
      </c>
      <c r="D54" s="10">
        <f>C58*$B$59</f>
        <v/>
      </c>
      <c r="E54" s="10">
        <f>D58*$B$59</f>
        <v/>
      </c>
      <c r="F54" s="10">
        <f>E58*$B$59</f>
        <v/>
      </c>
      <c r="G54" s="10">
        <f>F58*$B$59</f>
        <v/>
      </c>
      <c r="H54" s="10">
        <f>G58*$B$59</f>
        <v/>
      </c>
      <c r="I54" s="10">
        <f>H58*$B$59</f>
        <v/>
      </c>
      <c r="J54" s="10">
        <f>I58*$B$59</f>
        <v/>
      </c>
    </row>
    <row r="55">
      <c r="A55" t="inlineStr">
        <is>
          <t>Hires</t>
        </is>
      </c>
      <c r="C55" s="12">
        <f>MAX(0,ROUND(C53-C54,0))</f>
        <v/>
      </c>
      <c r="D55" s="12">
        <f>MAX(0,ROUND(D53-D54,0))</f>
        <v/>
      </c>
      <c r="E55" s="12">
        <f>MAX(0,ROUND(E53-E54,0))</f>
        <v/>
      </c>
      <c r="F55" s="12">
        <f>MAX(0,ROUND(F53-F54,0))</f>
        <v/>
      </c>
      <c r="G55" s="12">
        <f>MAX(0,ROUND(G53-G54,0))</f>
        <v/>
      </c>
      <c r="H55" s="12">
        <f>MAX(0,ROUND(H53-H54,0))</f>
        <v/>
      </c>
      <c r="I55" s="12">
        <f>MAX(0,ROUND(I53-I54,0))</f>
        <v/>
      </c>
      <c r="J55" s="12">
        <f>MAX(0,ROUND(J53-J54,0))</f>
        <v/>
      </c>
      <c r="K55" s="12">
        <f>SUM(C55:F55)</f>
        <v/>
      </c>
      <c r="L55" s="12">
        <f>SUM(G55:J55)</f>
        <v/>
      </c>
    </row>
    <row r="56">
      <c r="A56" t="inlineStr">
        <is>
          <t>Backfill hires</t>
        </is>
      </c>
      <c r="C56" s="10">
        <f>0</f>
        <v/>
      </c>
      <c r="D56" s="10">
        <f>MIN(D55,C59)</f>
        <v/>
      </c>
      <c r="E56" s="10">
        <f>MIN(E55,D59)</f>
        <v/>
      </c>
      <c r="F56" s="10">
        <f>MIN(F55,E59)</f>
        <v/>
      </c>
      <c r="G56" s="10">
        <f>MIN(G55,F59)</f>
        <v/>
      </c>
      <c r="H56" s="10">
        <f>MIN(H55,G59)</f>
        <v/>
      </c>
      <c r="I56" s="10">
        <f>MIN(I55,H59)</f>
        <v/>
      </c>
      <c r="J56" s="10">
        <f>MIN(J55,I59)</f>
        <v/>
      </c>
      <c r="K56" s="10">
        <f>SUM(C56:F56)</f>
        <v/>
      </c>
      <c r="L56" s="10">
        <f>SUM(G56:J56)</f>
        <v/>
      </c>
    </row>
    <row r="57">
      <c r="A57" t="inlineStr">
        <is>
          <t>Growth hires</t>
        </is>
      </c>
      <c r="C57" s="10">
        <f>C55-C56</f>
        <v/>
      </c>
      <c r="D57" s="10">
        <f>D55-D56</f>
        <v/>
      </c>
      <c r="E57" s="10">
        <f>E55-E56</f>
        <v/>
      </c>
      <c r="F57" s="10">
        <f>F55-F56</f>
        <v/>
      </c>
      <c r="G57" s="10">
        <f>G55-G56</f>
        <v/>
      </c>
      <c r="H57" s="10">
        <f>H55-H56</f>
        <v/>
      </c>
      <c r="I57" s="10">
        <f>I55-I56</f>
        <v/>
      </c>
      <c r="J57" s="10">
        <f>J55-J56</f>
        <v/>
      </c>
      <c r="K57" s="10">
        <f>SUM(C57:F57)</f>
        <v/>
      </c>
      <c r="L57" s="10">
        <f>SUM(G57:J57)</f>
        <v/>
      </c>
    </row>
    <row r="58">
      <c r="A58" t="inlineStr">
        <is>
          <t>Heads during the quarter</t>
        </is>
      </c>
      <c r="C58" s="10">
        <f>C54+C55</f>
        <v/>
      </c>
      <c r="D58" s="10">
        <f>D54+D55</f>
        <v/>
      </c>
      <c r="E58" s="10">
        <f>E54+E55</f>
        <v/>
      </c>
      <c r="F58" s="10">
        <f>F54+F55</f>
        <v/>
      </c>
      <c r="G58" s="10">
        <f>G54+G55</f>
        <v/>
      </c>
      <c r="H58" s="10">
        <f>H54+H55</f>
        <v/>
      </c>
      <c r="I58" s="10">
        <f>I54+I55</f>
        <v/>
      </c>
      <c r="J58" s="10">
        <f>J54+J55</f>
        <v/>
      </c>
      <c r="K58" s="10">
        <f>F58</f>
        <v/>
      </c>
      <c r="L58" s="10">
        <f>J58</f>
        <v/>
      </c>
    </row>
    <row r="59">
      <c r="A59" t="inlineStr">
        <is>
          <t>Expected departures</t>
        </is>
      </c>
      <c r="B59" s="34">
        <f>IFERROR((1-N(Assumptions!F53))^(1/4),1)</f>
        <v/>
      </c>
      <c r="C59" s="10">
        <f>C58*(1-$B$59)</f>
        <v/>
      </c>
      <c r="D59" s="10">
        <f>D58*(1-$B$59)</f>
        <v/>
      </c>
      <c r="E59" s="10">
        <f>E58*(1-$B$59)</f>
        <v/>
      </c>
      <c r="F59" s="10">
        <f>F58*(1-$B$59)</f>
        <v/>
      </c>
      <c r="G59" s="10">
        <f>G58*(1-$B$59)</f>
        <v/>
      </c>
      <c r="H59" s="10">
        <f>H58*(1-$B$59)</f>
        <v/>
      </c>
      <c r="I59" s="10">
        <f>I58*(1-$B$59)</f>
        <v/>
      </c>
      <c r="J59" s="10">
        <f>J58*(1-$B$59)</f>
        <v/>
      </c>
      <c r="K59" s="10">
        <f>SUM(C59:F59)</f>
        <v/>
      </c>
      <c r="L59" s="10">
        <f>SUM(G59:J59)</f>
        <v/>
      </c>
    </row>
    <row r="60">
      <c r="A60" s="7" t="inlineStr">
        <is>
          <t>Fully loaded cost</t>
        </is>
      </c>
      <c r="C60" s="6">
        <f>C58*(N(Assumptions!$G$53)*(1+N(Assumptions!$B$15))^(C$4-1)*(1+N(Assumptions!$B$13))+N(Assumptions!$H$53)*(1+N(Assumptions!$B$15))^(C$4-1)+N(Assumptions!$B$14))/4+C55*N(Assumptions!$I$53)</f>
        <v/>
      </c>
      <c r="D60" s="6">
        <f>D58*(N(Assumptions!$G$53)*(1+N(Assumptions!$B$15))^(D$4-1)*(1+N(Assumptions!$B$13))+N(Assumptions!$H$53)*(1+N(Assumptions!$B$15))^(D$4-1)+N(Assumptions!$B$14))/4+D55*N(Assumptions!$I$53)</f>
        <v/>
      </c>
      <c r="E60" s="6">
        <f>E58*(N(Assumptions!$G$53)*(1+N(Assumptions!$B$15))^(E$4-1)*(1+N(Assumptions!$B$13))+N(Assumptions!$H$53)*(1+N(Assumptions!$B$15))^(E$4-1)+N(Assumptions!$B$14))/4+E55*N(Assumptions!$I$53)</f>
        <v/>
      </c>
      <c r="F60" s="6">
        <f>F58*(N(Assumptions!$G$53)*(1+N(Assumptions!$B$15))^(F$4-1)*(1+N(Assumptions!$B$13))+N(Assumptions!$H$53)*(1+N(Assumptions!$B$15))^(F$4-1)+N(Assumptions!$B$14))/4+F55*N(Assumptions!$I$53)</f>
        <v/>
      </c>
      <c r="G60" s="6">
        <f>G58*(N(Assumptions!$G$53)*(1+N(Assumptions!$B$15))^(G$4-1)*(1+N(Assumptions!$B$13))+N(Assumptions!$H$53)*(1+N(Assumptions!$B$15))^(G$4-1)+N(Assumptions!$B$14))/4+G55*N(Assumptions!$I$53)</f>
        <v/>
      </c>
      <c r="H60" s="6">
        <f>H58*(N(Assumptions!$G$53)*(1+N(Assumptions!$B$15))^(H$4-1)*(1+N(Assumptions!$B$13))+N(Assumptions!$H$53)*(1+N(Assumptions!$B$15))^(H$4-1)+N(Assumptions!$B$14))/4+H55*N(Assumptions!$I$53)</f>
        <v/>
      </c>
      <c r="I60" s="6">
        <f>I58*(N(Assumptions!$G$53)*(1+N(Assumptions!$B$15))^(I$4-1)*(1+N(Assumptions!$B$13))+N(Assumptions!$H$53)*(1+N(Assumptions!$B$15))^(I$4-1)+N(Assumptions!$B$14))/4+I55*N(Assumptions!$I$53)</f>
        <v/>
      </c>
      <c r="J60" s="6">
        <f>J58*(N(Assumptions!$G$53)*(1+N(Assumptions!$B$15))^(J$4-1)*(1+N(Assumptions!$B$13))+N(Assumptions!$H$53)*(1+N(Assumptions!$B$15))^(J$4-1)+N(Assumptions!$B$14))/4+J55*N(Assumptions!$I$53)</f>
        <v/>
      </c>
      <c r="K60" s="6">
        <f>SUM(C60:F60)</f>
        <v/>
      </c>
      <c r="L60" s="6">
        <f>SUM(G60:J60)</f>
        <v/>
      </c>
    </row>
    <row r="61"/>
    <row r="62">
      <c r="A62" s="20">
        <f>IF(Assumptions!A54="","Team 5",Assumptions!A54)</f>
        <v/>
      </c>
      <c r="B62" s="21" t="n"/>
      <c r="C62" s="21" t="n"/>
      <c r="D62" s="21" t="n"/>
      <c r="E62" s="21" t="n"/>
      <c r="F62" s="21" t="n"/>
      <c r="G62" s="21" t="n"/>
      <c r="H62" s="21" t="n"/>
      <c r="I62" s="21" t="n"/>
      <c r="J62" s="21" t="n"/>
      <c r="K62" s="21" t="n"/>
      <c r="L62" s="21" t="n"/>
    </row>
    <row r="63">
      <c r="A63" t="inlineStr">
        <is>
          <t>Required heads from the driver</t>
        </is>
      </c>
      <c r="C63" s="12">
        <f>IF(Assumptions!$D$54="",N(Assumptions!$E$54),IFERROR(ROUNDUP('ARR target'!B18/Assumptions!$D$54,0),0))</f>
        <v/>
      </c>
      <c r="D63" s="12">
        <f>IF(Assumptions!$D$54="",N(Assumptions!$E$54),IFERROR(ROUNDUP('ARR target'!C18/Assumptions!$D$54,0),0))</f>
        <v/>
      </c>
      <c r="E63" s="12">
        <f>IF(Assumptions!$D$54="",N(Assumptions!$E$54),IFERROR(ROUNDUP('ARR target'!D18/Assumptions!$D$54,0),0))</f>
        <v/>
      </c>
      <c r="F63" s="12">
        <f>IF(Assumptions!$D$54="",N(Assumptions!$E$54),IFERROR(ROUNDUP('ARR target'!E18/Assumptions!$D$54,0),0))</f>
        <v/>
      </c>
      <c r="G63" s="12">
        <f>IF(Assumptions!$D$54="",N(Assumptions!$E$54),IFERROR(ROUNDUP('ARR target'!F18/Assumptions!$D$54,0),0))</f>
        <v/>
      </c>
      <c r="H63" s="12">
        <f>IF(Assumptions!$D$54="",N(Assumptions!$E$54),IFERROR(ROUNDUP('ARR target'!G18/Assumptions!$D$54,0),0))</f>
        <v/>
      </c>
      <c r="I63" s="12">
        <f>IF(Assumptions!$D$54="",N(Assumptions!$E$54),IFERROR(ROUNDUP('ARR target'!H18/Assumptions!$D$54,0),0))</f>
        <v/>
      </c>
      <c r="J63" s="12">
        <f>IF(Assumptions!$D$54="",N(Assumptions!$E$54),IFERROR(ROUNDUP('ARR target'!I18/Assumptions!$D$54,0),0))</f>
        <v/>
      </c>
    </row>
    <row r="64">
      <c r="A64" t="inlineStr">
        <is>
          <t>Override required heads (optional)</t>
        </is>
      </c>
      <c r="C64" s="19" t="n"/>
      <c r="D64" s="19" t="n"/>
      <c r="E64" s="19" t="n"/>
      <c r="F64" s="19" t="n"/>
      <c r="G64" s="19" t="n"/>
      <c r="H64" s="19" t="n"/>
      <c r="I64" s="19" t="n"/>
      <c r="J64" s="19" t="n"/>
    </row>
    <row r="65">
      <c r="A65" t="inlineStr">
        <is>
          <t>Required heads used</t>
        </is>
      </c>
      <c r="C65" s="12">
        <f>IF(C64="",C63,C64)</f>
        <v/>
      </c>
      <c r="D65" s="12">
        <f>IF(D64="",D63,D64)</f>
        <v/>
      </c>
      <c r="E65" s="12">
        <f>IF(E64="",E63,E64)</f>
        <v/>
      </c>
      <c r="F65" s="12">
        <f>IF(F64="",F63,F64)</f>
        <v/>
      </c>
      <c r="G65" s="12">
        <f>IF(G64="",G63,G64)</f>
        <v/>
      </c>
      <c r="H65" s="12">
        <f>IF(H64="",H63,H64)</f>
        <v/>
      </c>
      <c r="I65" s="12">
        <f>IF(I64="",I63,I64)</f>
        <v/>
      </c>
      <c r="J65" s="12">
        <f>IF(J64="",J63,J64)</f>
        <v/>
      </c>
    </row>
    <row r="66">
      <c r="A66" t="inlineStr">
        <is>
          <t>Heads at the start of the quarter</t>
        </is>
      </c>
      <c r="C66" s="10">
        <f>N(Assumptions!$E$54)</f>
        <v/>
      </c>
      <c r="D66" s="10">
        <f>C70*$B$71</f>
        <v/>
      </c>
      <c r="E66" s="10">
        <f>D70*$B$71</f>
        <v/>
      </c>
      <c r="F66" s="10">
        <f>E70*$B$71</f>
        <v/>
      </c>
      <c r="G66" s="10">
        <f>F70*$B$71</f>
        <v/>
      </c>
      <c r="H66" s="10">
        <f>G70*$B$71</f>
        <v/>
      </c>
      <c r="I66" s="10">
        <f>H70*$B$71</f>
        <v/>
      </c>
      <c r="J66" s="10">
        <f>I70*$B$71</f>
        <v/>
      </c>
    </row>
    <row r="67">
      <c r="A67" t="inlineStr">
        <is>
          <t>Hires</t>
        </is>
      </c>
      <c r="C67" s="12">
        <f>MAX(0,ROUND(C65-C66,0))</f>
        <v/>
      </c>
      <c r="D67" s="12">
        <f>MAX(0,ROUND(D65-D66,0))</f>
        <v/>
      </c>
      <c r="E67" s="12">
        <f>MAX(0,ROUND(E65-E66,0))</f>
        <v/>
      </c>
      <c r="F67" s="12">
        <f>MAX(0,ROUND(F65-F66,0))</f>
        <v/>
      </c>
      <c r="G67" s="12">
        <f>MAX(0,ROUND(G65-G66,0))</f>
        <v/>
      </c>
      <c r="H67" s="12">
        <f>MAX(0,ROUND(H65-H66,0))</f>
        <v/>
      </c>
      <c r="I67" s="12">
        <f>MAX(0,ROUND(I65-I66,0))</f>
        <v/>
      </c>
      <c r="J67" s="12">
        <f>MAX(0,ROUND(J65-J66,0))</f>
        <v/>
      </c>
      <c r="K67" s="12">
        <f>SUM(C67:F67)</f>
        <v/>
      </c>
      <c r="L67" s="12">
        <f>SUM(G67:J67)</f>
        <v/>
      </c>
    </row>
    <row r="68">
      <c r="A68" t="inlineStr">
        <is>
          <t>Backfill hires</t>
        </is>
      </c>
      <c r="C68" s="10">
        <f>0</f>
        <v/>
      </c>
      <c r="D68" s="10">
        <f>MIN(D67,C71)</f>
        <v/>
      </c>
      <c r="E68" s="10">
        <f>MIN(E67,D71)</f>
        <v/>
      </c>
      <c r="F68" s="10">
        <f>MIN(F67,E71)</f>
        <v/>
      </c>
      <c r="G68" s="10">
        <f>MIN(G67,F71)</f>
        <v/>
      </c>
      <c r="H68" s="10">
        <f>MIN(H67,G71)</f>
        <v/>
      </c>
      <c r="I68" s="10">
        <f>MIN(I67,H71)</f>
        <v/>
      </c>
      <c r="J68" s="10">
        <f>MIN(J67,I71)</f>
        <v/>
      </c>
      <c r="K68" s="10">
        <f>SUM(C68:F68)</f>
        <v/>
      </c>
      <c r="L68" s="10">
        <f>SUM(G68:J68)</f>
        <v/>
      </c>
    </row>
    <row r="69">
      <c r="A69" t="inlineStr">
        <is>
          <t>Growth hires</t>
        </is>
      </c>
      <c r="C69" s="10">
        <f>C67-C68</f>
        <v/>
      </c>
      <c r="D69" s="10">
        <f>D67-D68</f>
        <v/>
      </c>
      <c r="E69" s="10">
        <f>E67-E68</f>
        <v/>
      </c>
      <c r="F69" s="10">
        <f>F67-F68</f>
        <v/>
      </c>
      <c r="G69" s="10">
        <f>G67-G68</f>
        <v/>
      </c>
      <c r="H69" s="10">
        <f>H67-H68</f>
        <v/>
      </c>
      <c r="I69" s="10">
        <f>I67-I68</f>
        <v/>
      </c>
      <c r="J69" s="10">
        <f>J67-J68</f>
        <v/>
      </c>
      <c r="K69" s="10">
        <f>SUM(C69:F69)</f>
        <v/>
      </c>
      <c r="L69" s="10">
        <f>SUM(G69:J69)</f>
        <v/>
      </c>
    </row>
    <row r="70">
      <c r="A70" t="inlineStr">
        <is>
          <t>Heads during the quarter</t>
        </is>
      </c>
      <c r="C70" s="10">
        <f>C66+C67</f>
        <v/>
      </c>
      <c r="D70" s="10">
        <f>D66+D67</f>
        <v/>
      </c>
      <c r="E70" s="10">
        <f>E66+E67</f>
        <v/>
      </c>
      <c r="F70" s="10">
        <f>F66+F67</f>
        <v/>
      </c>
      <c r="G70" s="10">
        <f>G66+G67</f>
        <v/>
      </c>
      <c r="H70" s="10">
        <f>H66+H67</f>
        <v/>
      </c>
      <c r="I70" s="10">
        <f>I66+I67</f>
        <v/>
      </c>
      <c r="J70" s="10">
        <f>J66+J67</f>
        <v/>
      </c>
      <c r="K70" s="10">
        <f>F70</f>
        <v/>
      </c>
      <c r="L70" s="10">
        <f>J70</f>
        <v/>
      </c>
    </row>
    <row r="71">
      <c r="A71" t="inlineStr">
        <is>
          <t>Expected departures</t>
        </is>
      </c>
      <c r="B71" s="34">
        <f>IFERROR((1-N(Assumptions!F54))^(1/4),1)</f>
        <v/>
      </c>
      <c r="C71" s="10">
        <f>C70*(1-$B$71)</f>
        <v/>
      </c>
      <c r="D71" s="10">
        <f>D70*(1-$B$71)</f>
        <v/>
      </c>
      <c r="E71" s="10">
        <f>E70*(1-$B$71)</f>
        <v/>
      </c>
      <c r="F71" s="10">
        <f>F70*(1-$B$71)</f>
        <v/>
      </c>
      <c r="G71" s="10">
        <f>G70*(1-$B$71)</f>
        <v/>
      </c>
      <c r="H71" s="10">
        <f>H70*(1-$B$71)</f>
        <v/>
      </c>
      <c r="I71" s="10">
        <f>I70*(1-$B$71)</f>
        <v/>
      </c>
      <c r="J71" s="10">
        <f>J70*(1-$B$71)</f>
        <v/>
      </c>
      <c r="K71" s="10">
        <f>SUM(C71:F71)</f>
        <v/>
      </c>
      <c r="L71" s="10">
        <f>SUM(G71:J71)</f>
        <v/>
      </c>
    </row>
    <row r="72">
      <c r="A72" s="7" t="inlineStr">
        <is>
          <t>Fully loaded cost</t>
        </is>
      </c>
      <c r="C72" s="6">
        <f>C70*(N(Assumptions!$G$54)*(1+N(Assumptions!$B$15))^(C$4-1)*(1+N(Assumptions!$B$13))+N(Assumptions!$H$54)*(1+N(Assumptions!$B$15))^(C$4-1)+N(Assumptions!$B$14))/4+C67*N(Assumptions!$I$54)</f>
        <v/>
      </c>
      <c r="D72" s="6">
        <f>D70*(N(Assumptions!$G$54)*(1+N(Assumptions!$B$15))^(D$4-1)*(1+N(Assumptions!$B$13))+N(Assumptions!$H$54)*(1+N(Assumptions!$B$15))^(D$4-1)+N(Assumptions!$B$14))/4+D67*N(Assumptions!$I$54)</f>
        <v/>
      </c>
      <c r="E72" s="6">
        <f>E70*(N(Assumptions!$G$54)*(1+N(Assumptions!$B$15))^(E$4-1)*(1+N(Assumptions!$B$13))+N(Assumptions!$H$54)*(1+N(Assumptions!$B$15))^(E$4-1)+N(Assumptions!$B$14))/4+E67*N(Assumptions!$I$54)</f>
        <v/>
      </c>
      <c r="F72" s="6">
        <f>F70*(N(Assumptions!$G$54)*(1+N(Assumptions!$B$15))^(F$4-1)*(1+N(Assumptions!$B$13))+N(Assumptions!$H$54)*(1+N(Assumptions!$B$15))^(F$4-1)+N(Assumptions!$B$14))/4+F67*N(Assumptions!$I$54)</f>
        <v/>
      </c>
      <c r="G72" s="6">
        <f>G70*(N(Assumptions!$G$54)*(1+N(Assumptions!$B$15))^(G$4-1)*(1+N(Assumptions!$B$13))+N(Assumptions!$H$54)*(1+N(Assumptions!$B$15))^(G$4-1)+N(Assumptions!$B$14))/4+G67*N(Assumptions!$I$54)</f>
        <v/>
      </c>
      <c r="H72" s="6">
        <f>H70*(N(Assumptions!$G$54)*(1+N(Assumptions!$B$15))^(H$4-1)*(1+N(Assumptions!$B$13))+N(Assumptions!$H$54)*(1+N(Assumptions!$B$15))^(H$4-1)+N(Assumptions!$B$14))/4+H67*N(Assumptions!$I$54)</f>
        <v/>
      </c>
      <c r="I72" s="6">
        <f>I70*(N(Assumptions!$G$54)*(1+N(Assumptions!$B$15))^(I$4-1)*(1+N(Assumptions!$B$13))+N(Assumptions!$H$54)*(1+N(Assumptions!$B$15))^(I$4-1)+N(Assumptions!$B$14))/4+I67*N(Assumptions!$I$54)</f>
        <v/>
      </c>
      <c r="J72" s="6">
        <f>J70*(N(Assumptions!$G$54)*(1+N(Assumptions!$B$15))^(J$4-1)*(1+N(Assumptions!$B$13))+N(Assumptions!$H$54)*(1+N(Assumptions!$B$15))^(J$4-1)+N(Assumptions!$B$14))/4+J67*N(Assumptions!$I$54)</f>
        <v/>
      </c>
      <c r="K72" s="6">
        <f>SUM(C72:F72)</f>
        <v/>
      </c>
      <c r="L72" s="6">
        <f>SUM(G72:J72)</f>
        <v/>
      </c>
    </row>
    <row r="73"/>
    <row r="74">
      <c r="A74" s="20">
        <f>IF(Assumptions!A55="","Team 6",Assumptions!A55)</f>
        <v/>
      </c>
      <c r="B74" s="21" t="n"/>
      <c r="C74" s="21" t="n"/>
      <c r="D74" s="21" t="n"/>
      <c r="E74" s="21" t="n"/>
      <c r="F74" s="21" t="n"/>
      <c r="G74" s="21" t="n"/>
      <c r="H74" s="21" t="n"/>
      <c r="I74" s="21" t="n"/>
      <c r="J74" s="21" t="n"/>
      <c r="K74" s="21" t="n"/>
      <c r="L74" s="21" t="n"/>
    </row>
    <row r="75">
      <c r="A75" t="inlineStr">
        <is>
          <t>Required heads from the driver</t>
        </is>
      </c>
      <c r="C75" s="12">
        <f>IF(Assumptions!$D$55="",N(Assumptions!$E$55),IFERROR(ROUNDUP('ARR target'!B18/Assumptions!$D$55,0),0))</f>
        <v/>
      </c>
      <c r="D75" s="12">
        <f>IF(Assumptions!$D$55="",N(Assumptions!$E$55),IFERROR(ROUNDUP('ARR target'!C18/Assumptions!$D$55,0),0))</f>
        <v/>
      </c>
      <c r="E75" s="12">
        <f>IF(Assumptions!$D$55="",N(Assumptions!$E$55),IFERROR(ROUNDUP('ARR target'!D18/Assumptions!$D$55,0),0))</f>
        <v/>
      </c>
      <c r="F75" s="12">
        <f>IF(Assumptions!$D$55="",N(Assumptions!$E$55),IFERROR(ROUNDUP('ARR target'!E18/Assumptions!$D$55,0),0))</f>
        <v/>
      </c>
      <c r="G75" s="12">
        <f>IF(Assumptions!$D$55="",N(Assumptions!$E$55),IFERROR(ROUNDUP('ARR target'!F18/Assumptions!$D$55,0),0))</f>
        <v/>
      </c>
      <c r="H75" s="12">
        <f>IF(Assumptions!$D$55="",N(Assumptions!$E$55),IFERROR(ROUNDUP('ARR target'!G18/Assumptions!$D$55,0),0))</f>
        <v/>
      </c>
      <c r="I75" s="12">
        <f>IF(Assumptions!$D$55="",N(Assumptions!$E$55),IFERROR(ROUNDUP('ARR target'!H18/Assumptions!$D$55,0),0))</f>
        <v/>
      </c>
      <c r="J75" s="12">
        <f>IF(Assumptions!$D$55="",N(Assumptions!$E$55),IFERROR(ROUNDUP('ARR target'!I18/Assumptions!$D$55,0),0))</f>
        <v/>
      </c>
    </row>
    <row r="76">
      <c r="A76" t="inlineStr">
        <is>
          <t>Override required heads (optional)</t>
        </is>
      </c>
      <c r="C76" s="19" t="n"/>
      <c r="D76" s="19" t="n"/>
      <c r="E76" s="19" t="n"/>
      <c r="F76" s="19" t="n"/>
      <c r="G76" s="19" t="n"/>
      <c r="H76" s="19" t="n"/>
      <c r="I76" s="19" t="n"/>
      <c r="J76" s="19" t="n"/>
    </row>
    <row r="77">
      <c r="A77" t="inlineStr">
        <is>
          <t>Required heads used</t>
        </is>
      </c>
      <c r="C77" s="12">
        <f>IF(C76="",C75,C76)</f>
        <v/>
      </c>
      <c r="D77" s="12">
        <f>IF(D76="",D75,D76)</f>
        <v/>
      </c>
      <c r="E77" s="12">
        <f>IF(E76="",E75,E76)</f>
        <v/>
      </c>
      <c r="F77" s="12">
        <f>IF(F76="",F75,F76)</f>
        <v/>
      </c>
      <c r="G77" s="12">
        <f>IF(G76="",G75,G76)</f>
        <v/>
      </c>
      <c r="H77" s="12">
        <f>IF(H76="",H75,H76)</f>
        <v/>
      </c>
      <c r="I77" s="12">
        <f>IF(I76="",I75,I76)</f>
        <v/>
      </c>
      <c r="J77" s="12">
        <f>IF(J76="",J75,J76)</f>
        <v/>
      </c>
    </row>
    <row r="78">
      <c r="A78" t="inlineStr">
        <is>
          <t>Heads at the start of the quarter</t>
        </is>
      </c>
      <c r="C78" s="10">
        <f>N(Assumptions!$E$55)</f>
        <v/>
      </c>
      <c r="D78" s="10">
        <f>C82*$B$83</f>
        <v/>
      </c>
      <c r="E78" s="10">
        <f>D82*$B$83</f>
        <v/>
      </c>
      <c r="F78" s="10">
        <f>E82*$B$83</f>
        <v/>
      </c>
      <c r="G78" s="10">
        <f>F82*$B$83</f>
        <v/>
      </c>
      <c r="H78" s="10">
        <f>G82*$B$83</f>
        <v/>
      </c>
      <c r="I78" s="10">
        <f>H82*$B$83</f>
        <v/>
      </c>
      <c r="J78" s="10">
        <f>I82*$B$83</f>
        <v/>
      </c>
    </row>
    <row r="79">
      <c r="A79" t="inlineStr">
        <is>
          <t>Hires</t>
        </is>
      </c>
      <c r="C79" s="12">
        <f>MAX(0,ROUND(C77-C78,0))</f>
        <v/>
      </c>
      <c r="D79" s="12">
        <f>MAX(0,ROUND(D77-D78,0))</f>
        <v/>
      </c>
      <c r="E79" s="12">
        <f>MAX(0,ROUND(E77-E78,0))</f>
        <v/>
      </c>
      <c r="F79" s="12">
        <f>MAX(0,ROUND(F77-F78,0))</f>
        <v/>
      </c>
      <c r="G79" s="12">
        <f>MAX(0,ROUND(G77-G78,0))</f>
        <v/>
      </c>
      <c r="H79" s="12">
        <f>MAX(0,ROUND(H77-H78,0))</f>
        <v/>
      </c>
      <c r="I79" s="12">
        <f>MAX(0,ROUND(I77-I78,0))</f>
        <v/>
      </c>
      <c r="J79" s="12">
        <f>MAX(0,ROUND(J77-J78,0))</f>
        <v/>
      </c>
      <c r="K79" s="12">
        <f>SUM(C79:F79)</f>
        <v/>
      </c>
      <c r="L79" s="12">
        <f>SUM(G79:J79)</f>
        <v/>
      </c>
    </row>
    <row r="80">
      <c r="A80" t="inlineStr">
        <is>
          <t>Backfill hires</t>
        </is>
      </c>
      <c r="C80" s="10">
        <f>0</f>
        <v/>
      </c>
      <c r="D80" s="10">
        <f>MIN(D79,C83)</f>
        <v/>
      </c>
      <c r="E80" s="10">
        <f>MIN(E79,D83)</f>
        <v/>
      </c>
      <c r="F80" s="10">
        <f>MIN(F79,E83)</f>
        <v/>
      </c>
      <c r="G80" s="10">
        <f>MIN(G79,F83)</f>
        <v/>
      </c>
      <c r="H80" s="10">
        <f>MIN(H79,G83)</f>
        <v/>
      </c>
      <c r="I80" s="10">
        <f>MIN(I79,H83)</f>
        <v/>
      </c>
      <c r="J80" s="10">
        <f>MIN(J79,I83)</f>
        <v/>
      </c>
      <c r="K80" s="10">
        <f>SUM(C80:F80)</f>
        <v/>
      </c>
      <c r="L80" s="10">
        <f>SUM(G80:J80)</f>
        <v/>
      </c>
    </row>
    <row r="81">
      <c r="A81" t="inlineStr">
        <is>
          <t>Growth hires</t>
        </is>
      </c>
      <c r="C81" s="10">
        <f>C79-C80</f>
        <v/>
      </c>
      <c r="D81" s="10">
        <f>D79-D80</f>
        <v/>
      </c>
      <c r="E81" s="10">
        <f>E79-E80</f>
        <v/>
      </c>
      <c r="F81" s="10">
        <f>F79-F80</f>
        <v/>
      </c>
      <c r="G81" s="10">
        <f>G79-G80</f>
        <v/>
      </c>
      <c r="H81" s="10">
        <f>H79-H80</f>
        <v/>
      </c>
      <c r="I81" s="10">
        <f>I79-I80</f>
        <v/>
      </c>
      <c r="J81" s="10">
        <f>J79-J80</f>
        <v/>
      </c>
      <c r="K81" s="10">
        <f>SUM(C81:F81)</f>
        <v/>
      </c>
      <c r="L81" s="10">
        <f>SUM(G81:J81)</f>
        <v/>
      </c>
    </row>
    <row r="82">
      <c r="A82" t="inlineStr">
        <is>
          <t>Heads during the quarter</t>
        </is>
      </c>
      <c r="C82" s="10">
        <f>C78+C79</f>
        <v/>
      </c>
      <c r="D82" s="10">
        <f>D78+D79</f>
        <v/>
      </c>
      <c r="E82" s="10">
        <f>E78+E79</f>
        <v/>
      </c>
      <c r="F82" s="10">
        <f>F78+F79</f>
        <v/>
      </c>
      <c r="G82" s="10">
        <f>G78+G79</f>
        <v/>
      </c>
      <c r="H82" s="10">
        <f>H78+H79</f>
        <v/>
      </c>
      <c r="I82" s="10">
        <f>I78+I79</f>
        <v/>
      </c>
      <c r="J82" s="10">
        <f>J78+J79</f>
        <v/>
      </c>
      <c r="K82" s="10">
        <f>F82</f>
        <v/>
      </c>
      <c r="L82" s="10">
        <f>J82</f>
        <v/>
      </c>
    </row>
    <row r="83">
      <c r="A83" t="inlineStr">
        <is>
          <t>Expected departures</t>
        </is>
      </c>
      <c r="B83" s="34">
        <f>IFERROR((1-N(Assumptions!F55))^(1/4),1)</f>
        <v/>
      </c>
      <c r="C83" s="10">
        <f>C82*(1-$B$83)</f>
        <v/>
      </c>
      <c r="D83" s="10">
        <f>D82*(1-$B$83)</f>
        <v/>
      </c>
      <c r="E83" s="10">
        <f>E82*(1-$B$83)</f>
        <v/>
      </c>
      <c r="F83" s="10">
        <f>F82*(1-$B$83)</f>
        <v/>
      </c>
      <c r="G83" s="10">
        <f>G82*(1-$B$83)</f>
        <v/>
      </c>
      <c r="H83" s="10">
        <f>H82*(1-$B$83)</f>
        <v/>
      </c>
      <c r="I83" s="10">
        <f>I82*(1-$B$83)</f>
        <v/>
      </c>
      <c r="J83" s="10">
        <f>J82*(1-$B$83)</f>
        <v/>
      </c>
      <c r="K83" s="10">
        <f>SUM(C83:F83)</f>
        <v/>
      </c>
      <c r="L83" s="10">
        <f>SUM(G83:J83)</f>
        <v/>
      </c>
    </row>
    <row r="84">
      <c r="A84" s="7" t="inlineStr">
        <is>
          <t>Fully loaded cost</t>
        </is>
      </c>
      <c r="C84" s="6">
        <f>C82*(N(Assumptions!$G$55)*(1+N(Assumptions!$B$15))^(C$4-1)*(1+N(Assumptions!$B$13))+N(Assumptions!$H$55)*(1+N(Assumptions!$B$15))^(C$4-1)+N(Assumptions!$B$14))/4+C79*N(Assumptions!$I$55)</f>
        <v/>
      </c>
      <c r="D84" s="6">
        <f>D82*(N(Assumptions!$G$55)*(1+N(Assumptions!$B$15))^(D$4-1)*(1+N(Assumptions!$B$13))+N(Assumptions!$H$55)*(1+N(Assumptions!$B$15))^(D$4-1)+N(Assumptions!$B$14))/4+D79*N(Assumptions!$I$55)</f>
        <v/>
      </c>
      <c r="E84" s="6">
        <f>E82*(N(Assumptions!$G$55)*(1+N(Assumptions!$B$15))^(E$4-1)*(1+N(Assumptions!$B$13))+N(Assumptions!$H$55)*(1+N(Assumptions!$B$15))^(E$4-1)+N(Assumptions!$B$14))/4+E79*N(Assumptions!$I$55)</f>
        <v/>
      </c>
      <c r="F84" s="6">
        <f>F82*(N(Assumptions!$G$55)*(1+N(Assumptions!$B$15))^(F$4-1)*(1+N(Assumptions!$B$13))+N(Assumptions!$H$55)*(1+N(Assumptions!$B$15))^(F$4-1)+N(Assumptions!$B$14))/4+F79*N(Assumptions!$I$55)</f>
        <v/>
      </c>
      <c r="G84" s="6">
        <f>G82*(N(Assumptions!$G$55)*(1+N(Assumptions!$B$15))^(G$4-1)*(1+N(Assumptions!$B$13))+N(Assumptions!$H$55)*(1+N(Assumptions!$B$15))^(G$4-1)+N(Assumptions!$B$14))/4+G79*N(Assumptions!$I$55)</f>
        <v/>
      </c>
      <c r="H84" s="6">
        <f>H82*(N(Assumptions!$G$55)*(1+N(Assumptions!$B$15))^(H$4-1)*(1+N(Assumptions!$B$13))+N(Assumptions!$H$55)*(1+N(Assumptions!$B$15))^(H$4-1)+N(Assumptions!$B$14))/4+H79*N(Assumptions!$I$55)</f>
        <v/>
      </c>
      <c r="I84" s="6">
        <f>I82*(N(Assumptions!$G$55)*(1+N(Assumptions!$B$15))^(I$4-1)*(1+N(Assumptions!$B$13))+N(Assumptions!$H$55)*(1+N(Assumptions!$B$15))^(I$4-1)+N(Assumptions!$B$14))/4+I79*N(Assumptions!$I$55)</f>
        <v/>
      </c>
      <c r="J84" s="6">
        <f>J82*(N(Assumptions!$G$55)*(1+N(Assumptions!$B$15))^(J$4-1)*(1+N(Assumptions!$B$13))+N(Assumptions!$H$55)*(1+N(Assumptions!$B$15))^(J$4-1)+N(Assumptions!$B$14))/4+J79*N(Assumptions!$I$55)</f>
        <v/>
      </c>
      <c r="K84" s="6">
        <f>SUM(C84:F84)</f>
        <v/>
      </c>
      <c r="L84" s="6">
        <f>SUM(G84:J84)</f>
        <v/>
      </c>
    </row>
    <row r="85"/>
    <row r="86">
      <c r="A86" s="20">
        <f>IF(Assumptions!A56="","Team 7",Assumptions!A56)</f>
        <v/>
      </c>
      <c r="B86" s="21" t="n"/>
      <c r="C86" s="21" t="n"/>
      <c r="D86" s="21" t="n"/>
      <c r="E86" s="21" t="n"/>
      <c r="F86" s="21" t="n"/>
      <c r="G86" s="21" t="n"/>
      <c r="H86" s="21" t="n"/>
      <c r="I86" s="21" t="n"/>
      <c r="J86" s="21" t="n"/>
      <c r="K86" s="21" t="n"/>
      <c r="L86" s="21" t="n"/>
    </row>
    <row r="87">
      <c r="A87" t="inlineStr">
        <is>
          <t>Required heads from the driver</t>
        </is>
      </c>
      <c r="C87" s="12">
        <f>IF(Assumptions!$D$56="",N(Assumptions!$E$56),IFERROR(ROUNDUP(ROUND(C$7+C22+C34+C46+C58+C70,0)/Assumptions!$D$56,0),0))</f>
        <v/>
      </c>
      <c r="D87" s="12">
        <f>IF(Assumptions!$D$56="",N(Assumptions!$E$56),IFERROR(ROUNDUP(ROUND(D$7+D22+D34+D46+D58+D70,0)/Assumptions!$D$56,0),0))</f>
        <v/>
      </c>
      <c r="E87" s="12">
        <f>IF(Assumptions!$D$56="",N(Assumptions!$E$56),IFERROR(ROUNDUP(ROUND(E$7+E22+E34+E46+E58+E70,0)/Assumptions!$D$56,0),0))</f>
        <v/>
      </c>
      <c r="F87" s="12">
        <f>IF(Assumptions!$D$56="",N(Assumptions!$E$56),IFERROR(ROUNDUP(ROUND(F$7+F22+F34+F46+F58+F70,0)/Assumptions!$D$56,0),0))</f>
        <v/>
      </c>
      <c r="G87" s="12">
        <f>IF(Assumptions!$D$56="",N(Assumptions!$E$56),IFERROR(ROUNDUP(ROUND(G$7+G22+G34+G46+G58+G70,0)/Assumptions!$D$56,0),0))</f>
        <v/>
      </c>
      <c r="H87" s="12">
        <f>IF(Assumptions!$D$56="",N(Assumptions!$E$56),IFERROR(ROUNDUP(ROUND(H$7+H22+H34+H46+H58+H70,0)/Assumptions!$D$56,0),0))</f>
        <v/>
      </c>
      <c r="I87" s="12">
        <f>IF(Assumptions!$D$56="",N(Assumptions!$E$56),IFERROR(ROUNDUP(ROUND(I$7+I22+I34+I46+I58+I70,0)/Assumptions!$D$56,0),0))</f>
        <v/>
      </c>
      <c r="J87" s="12">
        <f>IF(Assumptions!$D$56="",N(Assumptions!$E$56),IFERROR(ROUNDUP(ROUND(J$7+J22+J34+J46+J58+J70,0)/Assumptions!$D$56,0),0))</f>
        <v/>
      </c>
    </row>
    <row r="88">
      <c r="A88" t="inlineStr">
        <is>
          <t>Override required heads (optional)</t>
        </is>
      </c>
      <c r="C88" s="19" t="n"/>
      <c r="D88" s="19" t="n"/>
      <c r="E88" s="19" t="n"/>
      <c r="F88" s="19" t="n"/>
      <c r="G88" s="19" t="n"/>
      <c r="H88" s="19" t="n"/>
      <c r="I88" s="19" t="n"/>
      <c r="J88" s="19" t="n"/>
    </row>
    <row r="89">
      <c r="A89" t="inlineStr">
        <is>
          <t>Required heads used</t>
        </is>
      </c>
      <c r="C89" s="12">
        <f>IF(C88="",C87,C88)</f>
        <v/>
      </c>
      <c r="D89" s="12">
        <f>IF(D88="",D87,D88)</f>
        <v/>
      </c>
      <c r="E89" s="12">
        <f>IF(E88="",E87,E88)</f>
        <v/>
      </c>
      <c r="F89" s="12">
        <f>IF(F88="",F87,F88)</f>
        <v/>
      </c>
      <c r="G89" s="12">
        <f>IF(G88="",G87,G88)</f>
        <v/>
      </c>
      <c r="H89" s="12">
        <f>IF(H88="",H87,H88)</f>
        <v/>
      </c>
      <c r="I89" s="12">
        <f>IF(I88="",I87,I88)</f>
        <v/>
      </c>
      <c r="J89" s="12">
        <f>IF(J88="",J87,J88)</f>
        <v/>
      </c>
    </row>
    <row r="90">
      <c r="A90" t="inlineStr">
        <is>
          <t>Heads at the start of the quarter</t>
        </is>
      </c>
      <c r="C90" s="10">
        <f>N(Assumptions!$E$56)</f>
        <v/>
      </c>
      <c r="D90" s="10">
        <f>C94*$B$95</f>
        <v/>
      </c>
      <c r="E90" s="10">
        <f>D94*$B$95</f>
        <v/>
      </c>
      <c r="F90" s="10">
        <f>E94*$B$95</f>
        <v/>
      </c>
      <c r="G90" s="10">
        <f>F94*$B$95</f>
        <v/>
      </c>
      <c r="H90" s="10">
        <f>G94*$B$95</f>
        <v/>
      </c>
      <c r="I90" s="10">
        <f>H94*$B$95</f>
        <v/>
      </c>
      <c r="J90" s="10">
        <f>I94*$B$95</f>
        <v/>
      </c>
    </row>
    <row r="91">
      <c r="A91" t="inlineStr">
        <is>
          <t>Hires</t>
        </is>
      </c>
      <c r="C91" s="12">
        <f>MAX(0,ROUND(C89-C90,0))</f>
        <v/>
      </c>
      <c r="D91" s="12">
        <f>MAX(0,ROUND(D89-D90,0))</f>
        <v/>
      </c>
      <c r="E91" s="12">
        <f>MAX(0,ROUND(E89-E90,0))</f>
        <v/>
      </c>
      <c r="F91" s="12">
        <f>MAX(0,ROUND(F89-F90,0))</f>
        <v/>
      </c>
      <c r="G91" s="12">
        <f>MAX(0,ROUND(G89-G90,0))</f>
        <v/>
      </c>
      <c r="H91" s="12">
        <f>MAX(0,ROUND(H89-H90,0))</f>
        <v/>
      </c>
      <c r="I91" s="12">
        <f>MAX(0,ROUND(I89-I90,0))</f>
        <v/>
      </c>
      <c r="J91" s="12">
        <f>MAX(0,ROUND(J89-J90,0))</f>
        <v/>
      </c>
      <c r="K91" s="12">
        <f>SUM(C91:F91)</f>
        <v/>
      </c>
      <c r="L91" s="12">
        <f>SUM(G91:J91)</f>
        <v/>
      </c>
    </row>
    <row r="92">
      <c r="A92" t="inlineStr">
        <is>
          <t>Backfill hires</t>
        </is>
      </c>
      <c r="C92" s="10">
        <f>0</f>
        <v/>
      </c>
      <c r="D92" s="10">
        <f>MIN(D91,C95)</f>
        <v/>
      </c>
      <c r="E92" s="10">
        <f>MIN(E91,D95)</f>
        <v/>
      </c>
      <c r="F92" s="10">
        <f>MIN(F91,E95)</f>
        <v/>
      </c>
      <c r="G92" s="10">
        <f>MIN(G91,F95)</f>
        <v/>
      </c>
      <c r="H92" s="10">
        <f>MIN(H91,G95)</f>
        <v/>
      </c>
      <c r="I92" s="10">
        <f>MIN(I91,H95)</f>
        <v/>
      </c>
      <c r="J92" s="10">
        <f>MIN(J91,I95)</f>
        <v/>
      </c>
      <c r="K92" s="10">
        <f>SUM(C92:F92)</f>
        <v/>
      </c>
      <c r="L92" s="10">
        <f>SUM(G92:J92)</f>
        <v/>
      </c>
    </row>
    <row r="93">
      <c r="A93" t="inlineStr">
        <is>
          <t>Growth hires</t>
        </is>
      </c>
      <c r="C93" s="10">
        <f>C91-C92</f>
        <v/>
      </c>
      <c r="D93" s="10">
        <f>D91-D92</f>
        <v/>
      </c>
      <c r="E93" s="10">
        <f>E91-E92</f>
        <v/>
      </c>
      <c r="F93" s="10">
        <f>F91-F92</f>
        <v/>
      </c>
      <c r="G93" s="10">
        <f>G91-G92</f>
        <v/>
      </c>
      <c r="H93" s="10">
        <f>H91-H92</f>
        <v/>
      </c>
      <c r="I93" s="10">
        <f>I91-I92</f>
        <v/>
      </c>
      <c r="J93" s="10">
        <f>J91-J92</f>
        <v/>
      </c>
      <c r="K93" s="10">
        <f>SUM(C93:F93)</f>
        <v/>
      </c>
      <c r="L93" s="10">
        <f>SUM(G93:J93)</f>
        <v/>
      </c>
    </row>
    <row r="94">
      <c r="A94" t="inlineStr">
        <is>
          <t>Heads during the quarter</t>
        </is>
      </c>
      <c r="C94" s="10">
        <f>C90+C91</f>
        <v/>
      </c>
      <c r="D94" s="10">
        <f>D90+D91</f>
        <v/>
      </c>
      <c r="E94" s="10">
        <f>E90+E91</f>
        <v/>
      </c>
      <c r="F94" s="10">
        <f>F90+F91</f>
        <v/>
      </c>
      <c r="G94" s="10">
        <f>G90+G91</f>
        <v/>
      </c>
      <c r="H94" s="10">
        <f>H90+H91</f>
        <v/>
      </c>
      <c r="I94" s="10">
        <f>I90+I91</f>
        <v/>
      </c>
      <c r="J94" s="10">
        <f>J90+J91</f>
        <v/>
      </c>
      <c r="K94" s="10">
        <f>F94</f>
        <v/>
      </c>
      <c r="L94" s="10">
        <f>J94</f>
        <v/>
      </c>
    </row>
    <row r="95">
      <c r="A95" t="inlineStr">
        <is>
          <t>Expected departures</t>
        </is>
      </c>
      <c r="B95" s="34">
        <f>IFERROR((1-N(Assumptions!F56))^(1/4),1)</f>
        <v/>
      </c>
      <c r="C95" s="10">
        <f>C94*(1-$B$95)</f>
        <v/>
      </c>
      <c r="D95" s="10">
        <f>D94*(1-$B$95)</f>
        <v/>
      </c>
      <c r="E95" s="10">
        <f>E94*(1-$B$95)</f>
        <v/>
      </c>
      <c r="F95" s="10">
        <f>F94*(1-$B$95)</f>
        <v/>
      </c>
      <c r="G95" s="10">
        <f>G94*(1-$B$95)</f>
        <v/>
      </c>
      <c r="H95" s="10">
        <f>H94*(1-$B$95)</f>
        <v/>
      </c>
      <c r="I95" s="10">
        <f>I94*(1-$B$95)</f>
        <v/>
      </c>
      <c r="J95" s="10">
        <f>J94*(1-$B$95)</f>
        <v/>
      </c>
      <c r="K95" s="10">
        <f>SUM(C95:F95)</f>
        <v/>
      </c>
      <c r="L95" s="10">
        <f>SUM(G95:J95)</f>
        <v/>
      </c>
    </row>
    <row r="96">
      <c r="A96" s="7" t="inlineStr">
        <is>
          <t>Fully loaded cost</t>
        </is>
      </c>
      <c r="C96" s="6">
        <f>C94*(N(Assumptions!$G$56)*(1+N(Assumptions!$B$15))^(C$4-1)*(1+N(Assumptions!$B$13))+N(Assumptions!$H$56)*(1+N(Assumptions!$B$15))^(C$4-1)+N(Assumptions!$B$14))/4+C91*N(Assumptions!$I$56)</f>
        <v/>
      </c>
      <c r="D96" s="6">
        <f>D94*(N(Assumptions!$G$56)*(1+N(Assumptions!$B$15))^(D$4-1)*(1+N(Assumptions!$B$13))+N(Assumptions!$H$56)*(1+N(Assumptions!$B$15))^(D$4-1)+N(Assumptions!$B$14))/4+D91*N(Assumptions!$I$56)</f>
        <v/>
      </c>
      <c r="E96" s="6">
        <f>E94*(N(Assumptions!$G$56)*(1+N(Assumptions!$B$15))^(E$4-1)*(1+N(Assumptions!$B$13))+N(Assumptions!$H$56)*(1+N(Assumptions!$B$15))^(E$4-1)+N(Assumptions!$B$14))/4+E91*N(Assumptions!$I$56)</f>
        <v/>
      </c>
      <c r="F96" s="6">
        <f>F94*(N(Assumptions!$G$56)*(1+N(Assumptions!$B$15))^(F$4-1)*(1+N(Assumptions!$B$13))+N(Assumptions!$H$56)*(1+N(Assumptions!$B$15))^(F$4-1)+N(Assumptions!$B$14))/4+F91*N(Assumptions!$I$56)</f>
        <v/>
      </c>
      <c r="G96" s="6">
        <f>G94*(N(Assumptions!$G$56)*(1+N(Assumptions!$B$15))^(G$4-1)*(1+N(Assumptions!$B$13))+N(Assumptions!$H$56)*(1+N(Assumptions!$B$15))^(G$4-1)+N(Assumptions!$B$14))/4+G91*N(Assumptions!$I$56)</f>
        <v/>
      </c>
      <c r="H96" s="6">
        <f>H94*(N(Assumptions!$G$56)*(1+N(Assumptions!$B$15))^(H$4-1)*(1+N(Assumptions!$B$13))+N(Assumptions!$H$56)*(1+N(Assumptions!$B$15))^(H$4-1)+N(Assumptions!$B$14))/4+H91*N(Assumptions!$I$56)</f>
        <v/>
      </c>
      <c r="I96" s="6">
        <f>I94*(N(Assumptions!$G$56)*(1+N(Assumptions!$B$15))^(I$4-1)*(1+N(Assumptions!$B$13))+N(Assumptions!$H$56)*(1+N(Assumptions!$B$15))^(I$4-1)+N(Assumptions!$B$14))/4+I91*N(Assumptions!$I$56)</f>
        <v/>
      </c>
      <c r="J96" s="6">
        <f>J94*(N(Assumptions!$G$56)*(1+N(Assumptions!$B$15))^(J$4-1)*(1+N(Assumptions!$B$13))+N(Assumptions!$H$56)*(1+N(Assumptions!$B$15))^(J$4-1)+N(Assumptions!$B$14))/4+J91*N(Assumptions!$I$56)</f>
        <v/>
      </c>
      <c r="K96" s="6">
        <f>SUM(C96:F96)</f>
        <v/>
      </c>
      <c r="L96" s="6">
        <f>SUM(G96:J96)</f>
        <v/>
      </c>
    </row>
    <row r="97"/>
    <row r="98">
      <c r="A98" s="20">
        <f>IF(Assumptions!A57="","Team 8",Assumptions!A57)</f>
        <v/>
      </c>
      <c r="B98" s="21" t="n"/>
      <c r="C98" s="21" t="n"/>
      <c r="D98" s="21" t="n"/>
      <c r="E98" s="21" t="n"/>
      <c r="F98" s="21" t="n"/>
      <c r="G98" s="21" t="n"/>
      <c r="H98" s="21" t="n"/>
      <c r="I98" s="21" t="n"/>
      <c r="J98" s="21" t="n"/>
      <c r="K98" s="21" t="n"/>
      <c r="L98" s="21" t="n"/>
    </row>
    <row r="99">
      <c r="A99" t="inlineStr">
        <is>
          <t>Required heads from the driver</t>
        </is>
      </c>
      <c r="C99" s="12">
        <f>N(Assumptions!$E$57)</f>
        <v/>
      </c>
      <c r="D99" s="12">
        <f>N(Assumptions!$E$57)</f>
        <v/>
      </c>
      <c r="E99" s="12">
        <f>N(Assumptions!$E$57)</f>
        <v/>
      </c>
      <c r="F99" s="12">
        <f>N(Assumptions!$E$57)</f>
        <v/>
      </c>
      <c r="G99" s="12">
        <f>N(Assumptions!$E$57)</f>
        <v/>
      </c>
      <c r="H99" s="12">
        <f>N(Assumptions!$E$57)</f>
        <v/>
      </c>
      <c r="I99" s="12">
        <f>N(Assumptions!$E$57)</f>
        <v/>
      </c>
      <c r="J99" s="12">
        <f>N(Assumptions!$E$57)</f>
        <v/>
      </c>
    </row>
    <row r="100">
      <c r="A100" t="inlineStr">
        <is>
          <t>Override required heads (optional)</t>
        </is>
      </c>
      <c r="C100" s="19" t="n"/>
      <c r="D100" s="19" t="n"/>
      <c r="E100" s="19" t="n"/>
      <c r="F100" s="19" t="n"/>
      <c r="G100" s="19" t="n"/>
      <c r="H100" s="19" t="n"/>
      <c r="I100" s="19" t="n"/>
      <c r="J100" s="19" t="n"/>
    </row>
    <row r="101">
      <c r="A101" t="inlineStr">
        <is>
          <t>Required heads used</t>
        </is>
      </c>
      <c r="C101" s="12">
        <f>IF(C100="",C99,C100)</f>
        <v/>
      </c>
      <c r="D101" s="12">
        <f>IF(D100="",D99,D100)</f>
        <v/>
      </c>
      <c r="E101" s="12">
        <f>IF(E100="",E99,E100)</f>
        <v/>
      </c>
      <c r="F101" s="12">
        <f>IF(F100="",F99,F100)</f>
        <v/>
      </c>
      <c r="G101" s="12">
        <f>IF(G100="",G99,G100)</f>
        <v/>
      </c>
      <c r="H101" s="12">
        <f>IF(H100="",H99,H100)</f>
        <v/>
      </c>
      <c r="I101" s="12">
        <f>IF(I100="",I99,I100)</f>
        <v/>
      </c>
      <c r="J101" s="12">
        <f>IF(J100="",J99,J100)</f>
        <v/>
      </c>
    </row>
    <row r="102">
      <c r="A102" t="inlineStr">
        <is>
          <t>Heads at the start of the quarter</t>
        </is>
      </c>
      <c r="C102" s="10">
        <f>N(Assumptions!$E$57)</f>
        <v/>
      </c>
      <c r="D102" s="10">
        <f>C106*$B$107</f>
        <v/>
      </c>
      <c r="E102" s="10">
        <f>D106*$B$107</f>
        <v/>
      </c>
      <c r="F102" s="10">
        <f>E106*$B$107</f>
        <v/>
      </c>
      <c r="G102" s="10">
        <f>F106*$B$107</f>
        <v/>
      </c>
      <c r="H102" s="10">
        <f>G106*$B$107</f>
        <v/>
      </c>
      <c r="I102" s="10">
        <f>H106*$B$107</f>
        <v/>
      </c>
      <c r="J102" s="10">
        <f>I106*$B$107</f>
        <v/>
      </c>
    </row>
    <row r="103">
      <c r="A103" t="inlineStr">
        <is>
          <t>Hires</t>
        </is>
      </c>
      <c r="C103" s="12">
        <f>MAX(0,ROUND(C101-C102,0))</f>
        <v/>
      </c>
      <c r="D103" s="12">
        <f>MAX(0,ROUND(D101-D102,0))</f>
        <v/>
      </c>
      <c r="E103" s="12">
        <f>MAX(0,ROUND(E101-E102,0))</f>
        <v/>
      </c>
      <c r="F103" s="12">
        <f>MAX(0,ROUND(F101-F102,0))</f>
        <v/>
      </c>
      <c r="G103" s="12">
        <f>MAX(0,ROUND(G101-G102,0))</f>
        <v/>
      </c>
      <c r="H103" s="12">
        <f>MAX(0,ROUND(H101-H102,0))</f>
        <v/>
      </c>
      <c r="I103" s="12">
        <f>MAX(0,ROUND(I101-I102,0))</f>
        <v/>
      </c>
      <c r="J103" s="12">
        <f>MAX(0,ROUND(J101-J102,0))</f>
        <v/>
      </c>
      <c r="K103" s="12">
        <f>SUM(C103:F103)</f>
        <v/>
      </c>
      <c r="L103" s="12">
        <f>SUM(G103:J103)</f>
        <v/>
      </c>
    </row>
    <row r="104">
      <c r="A104" t="inlineStr">
        <is>
          <t>Backfill hires</t>
        </is>
      </c>
      <c r="C104" s="10">
        <f>0</f>
        <v/>
      </c>
      <c r="D104" s="10">
        <f>MIN(D103,C107)</f>
        <v/>
      </c>
      <c r="E104" s="10">
        <f>MIN(E103,D107)</f>
        <v/>
      </c>
      <c r="F104" s="10">
        <f>MIN(F103,E107)</f>
        <v/>
      </c>
      <c r="G104" s="10">
        <f>MIN(G103,F107)</f>
        <v/>
      </c>
      <c r="H104" s="10">
        <f>MIN(H103,G107)</f>
        <v/>
      </c>
      <c r="I104" s="10">
        <f>MIN(I103,H107)</f>
        <v/>
      </c>
      <c r="J104" s="10">
        <f>MIN(J103,I107)</f>
        <v/>
      </c>
      <c r="K104" s="10">
        <f>SUM(C104:F104)</f>
        <v/>
      </c>
      <c r="L104" s="10">
        <f>SUM(G104:J104)</f>
        <v/>
      </c>
    </row>
    <row r="105">
      <c r="A105" t="inlineStr">
        <is>
          <t>Growth hires</t>
        </is>
      </c>
      <c r="C105" s="10">
        <f>C103-C104</f>
        <v/>
      </c>
      <c r="D105" s="10">
        <f>D103-D104</f>
        <v/>
      </c>
      <c r="E105" s="10">
        <f>E103-E104</f>
        <v/>
      </c>
      <c r="F105" s="10">
        <f>F103-F104</f>
        <v/>
      </c>
      <c r="G105" s="10">
        <f>G103-G104</f>
        <v/>
      </c>
      <c r="H105" s="10">
        <f>H103-H104</f>
        <v/>
      </c>
      <c r="I105" s="10">
        <f>I103-I104</f>
        <v/>
      </c>
      <c r="J105" s="10">
        <f>J103-J104</f>
        <v/>
      </c>
      <c r="K105" s="10">
        <f>SUM(C105:F105)</f>
        <v/>
      </c>
      <c r="L105" s="10">
        <f>SUM(G105:J105)</f>
        <v/>
      </c>
    </row>
    <row r="106">
      <c r="A106" t="inlineStr">
        <is>
          <t>Heads during the quarter</t>
        </is>
      </c>
      <c r="C106" s="10">
        <f>C102+C103</f>
        <v/>
      </c>
      <c r="D106" s="10">
        <f>D102+D103</f>
        <v/>
      </c>
      <c r="E106" s="10">
        <f>E102+E103</f>
        <v/>
      </c>
      <c r="F106" s="10">
        <f>F102+F103</f>
        <v/>
      </c>
      <c r="G106" s="10">
        <f>G102+G103</f>
        <v/>
      </c>
      <c r="H106" s="10">
        <f>H102+H103</f>
        <v/>
      </c>
      <c r="I106" s="10">
        <f>I102+I103</f>
        <v/>
      </c>
      <c r="J106" s="10">
        <f>J102+J103</f>
        <v/>
      </c>
      <c r="K106" s="10">
        <f>F106</f>
        <v/>
      </c>
      <c r="L106" s="10">
        <f>J106</f>
        <v/>
      </c>
    </row>
    <row r="107">
      <c r="A107" t="inlineStr">
        <is>
          <t>Expected departures</t>
        </is>
      </c>
      <c r="B107" s="34">
        <f>IFERROR((1-N(Assumptions!F57))^(1/4),1)</f>
        <v/>
      </c>
      <c r="C107" s="10">
        <f>C106*(1-$B$107)</f>
        <v/>
      </c>
      <c r="D107" s="10">
        <f>D106*(1-$B$107)</f>
        <v/>
      </c>
      <c r="E107" s="10">
        <f>E106*(1-$B$107)</f>
        <v/>
      </c>
      <c r="F107" s="10">
        <f>F106*(1-$B$107)</f>
        <v/>
      </c>
      <c r="G107" s="10">
        <f>G106*(1-$B$107)</f>
        <v/>
      </c>
      <c r="H107" s="10">
        <f>H106*(1-$B$107)</f>
        <v/>
      </c>
      <c r="I107" s="10">
        <f>I106*(1-$B$107)</f>
        <v/>
      </c>
      <c r="J107" s="10">
        <f>J106*(1-$B$107)</f>
        <v/>
      </c>
      <c r="K107" s="10">
        <f>SUM(C107:F107)</f>
        <v/>
      </c>
      <c r="L107" s="10">
        <f>SUM(G107:J107)</f>
        <v/>
      </c>
    </row>
    <row r="108">
      <c r="A108" s="7" t="inlineStr">
        <is>
          <t>Fully loaded cost</t>
        </is>
      </c>
      <c r="C108" s="6">
        <f>C106*(N(Assumptions!$G$57)*(1+N(Assumptions!$B$15))^(C$4-1)*(1+N(Assumptions!$B$13))+N(Assumptions!$H$57)*(1+N(Assumptions!$B$15))^(C$4-1)+N(Assumptions!$B$14))/4+C103*N(Assumptions!$I$57)</f>
        <v/>
      </c>
      <c r="D108" s="6">
        <f>D106*(N(Assumptions!$G$57)*(1+N(Assumptions!$B$15))^(D$4-1)*(1+N(Assumptions!$B$13))+N(Assumptions!$H$57)*(1+N(Assumptions!$B$15))^(D$4-1)+N(Assumptions!$B$14))/4+D103*N(Assumptions!$I$57)</f>
        <v/>
      </c>
      <c r="E108" s="6">
        <f>E106*(N(Assumptions!$G$57)*(1+N(Assumptions!$B$15))^(E$4-1)*(1+N(Assumptions!$B$13))+N(Assumptions!$H$57)*(1+N(Assumptions!$B$15))^(E$4-1)+N(Assumptions!$B$14))/4+E103*N(Assumptions!$I$57)</f>
        <v/>
      </c>
      <c r="F108" s="6">
        <f>F106*(N(Assumptions!$G$57)*(1+N(Assumptions!$B$15))^(F$4-1)*(1+N(Assumptions!$B$13))+N(Assumptions!$H$57)*(1+N(Assumptions!$B$15))^(F$4-1)+N(Assumptions!$B$14))/4+F103*N(Assumptions!$I$57)</f>
        <v/>
      </c>
      <c r="G108" s="6">
        <f>G106*(N(Assumptions!$G$57)*(1+N(Assumptions!$B$15))^(G$4-1)*(1+N(Assumptions!$B$13))+N(Assumptions!$H$57)*(1+N(Assumptions!$B$15))^(G$4-1)+N(Assumptions!$B$14))/4+G103*N(Assumptions!$I$57)</f>
        <v/>
      </c>
      <c r="H108" s="6">
        <f>H106*(N(Assumptions!$G$57)*(1+N(Assumptions!$B$15))^(H$4-1)*(1+N(Assumptions!$B$13))+N(Assumptions!$H$57)*(1+N(Assumptions!$B$15))^(H$4-1)+N(Assumptions!$B$14))/4+H103*N(Assumptions!$I$57)</f>
        <v/>
      </c>
      <c r="I108" s="6">
        <f>I106*(N(Assumptions!$G$57)*(1+N(Assumptions!$B$15))^(I$4-1)*(1+N(Assumptions!$B$13))+N(Assumptions!$H$57)*(1+N(Assumptions!$B$15))^(I$4-1)+N(Assumptions!$B$14))/4+I103*N(Assumptions!$I$57)</f>
        <v/>
      </c>
      <c r="J108" s="6">
        <f>J106*(N(Assumptions!$G$57)*(1+N(Assumptions!$B$15))^(J$4-1)*(1+N(Assumptions!$B$13))+N(Assumptions!$H$57)*(1+N(Assumptions!$B$15))^(J$4-1)+N(Assumptions!$B$14))/4+J103*N(Assumptions!$I$57)</f>
        <v/>
      </c>
      <c r="K108" s="6">
        <f>SUM(C108:F108)</f>
        <v/>
      </c>
      <c r="L108" s="6">
        <f>SUM(G108:J108)</f>
        <v/>
      </c>
    </row>
    <row r="109"/>
    <row r="110">
      <c r="A110" s="20">
        <f>IF(Assumptions!A58="","Team 9",Assumptions!A58)</f>
        <v/>
      </c>
      <c r="B110" s="21" t="n"/>
      <c r="C110" s="21" t="n"/>
      <c r="D110" s="21" t="n"/>
      <c r="E110" s="21" t="n"/>
      <c r="F110" s="21" t="n"/>
      <c r="G110" s="21" t="n"/>
      <c r="H110" s="21" t="n"/>
      <c r="I110" s="21" t="n"/>
      <c r="J110" s="21" t="n"/>
      <c r="K110" s="21" t="n"/>
      <c r="L110" s="21" t="n"/>
    </row>
    <row r="111">
      <c r="A111" t="inlineStr">
        <is>
          <t>Required heads from the driver</t>
        </is>
      </c>
      <c r="C111" s="12">
        <f>IF(Assumptions!$D$58="",N(Assumptions!$E$58),IFERROR(ROUNDUP(ROUND(C$7+C22+C34+C46+C58+C70+C82+C94+C106+C130+C142,0)/Assumptions!$D$58,0),0))</f>
        <v/>
      </c>
      <c r="D111" s="12">
        <f>IF(Assumptions!$D$58="",N(Assumptions!$E$58),IFERROR(ROUNDUP(ROUND(D$7+D22+D34+D46+D58+D70+D82+D94+D106+D130+D142,0)/Assumptions!$D$58,0),0))</f>
        <v/>
      </c>
      <c r="E111" s="12">
        <f>IF(Assumptions!$D$58="",N(Assumptions!$E$58),IFERROR(ROUNDUP(ROUND(E$7+E22+E34+E46+E58+E70+E82+E94+E106+E130+E142,0)/Assumptions!$D$58,0),0))</f>
        <v/>
      </c>
      <c r="F111" s="12">
        <f>IF(Assumptions!$D$58="",N(Assumptions!$E$58),IFERROR(ROUNDUP(ROUND(F$7+F22+F34+F46+F58+F70+F82+F94+F106+F130+F142,0)/Assumptions!$D$58,0),0))</f>
        <v/>
      </c>
      <c r="G111" s="12">
        <f>IF(Assumptions!$D$58="",N(Assumptions!$E$58),IFERROR(ROUNDUP(ROUND(G$7+G22+G34+G46+G58+G70+G82+G94+G106+G130+G142,0)/Assumptions!$D$58,0),0))</f>
        <v/>
      </c>
      <c r="H111" s="12">
        <f>IF(Assumptions!$D$58="",N(Assumptions!$E$58),IFERROR(ROUNDUP(ROUND(H$7+H22+H34+H46+H58+H70+H82+H94+H106+H130+H142,0)/Assumptions!$D$58,0),0))</f>
        <v/>
      </c>
      <c r="I111" s="12">
        <f>IF(Assumptions!$D$58="",N(Assumptions!$E$58),IFERROR(ROUNDUP(ROUND(I$7+I22+I34+I46+I58+I70+I82+I94+I106+I130+I142,0)/Assumptions!$D$58,0),0))</f>
        <v/>
      </c>
      <c r="J111" s="12">
        <f>IF(Assumptions!$D$58="",N(Assumptions!$E$58),IFERROR(ROUNDUP(ROUND(J$7+J22+J34+J46+J58+J70+J82+J94+J106+J130+J142,0)/Assumptions!$D$58,0),0))</f>
        <v/>
      </c>
    </row>
    <row r="112">
      <c r="A112" t="inlineStr">
        <is>
          <t>Override required heads (optional)</t>
        </is>
      </c>
      <c r="C112" s="19" t="n"/>
      <c r="D112" s="19" t="n"/>
      <c r="E112" s="19" t="n"/>
      <c r="F112" s="19" t="n"/>
      <c r="G112" s="19" t="n"/>
      <c r="H112" s="19" t="n"/>
      <c r="I112" s="19" t="n"/>
      <c r="J112" s="19" t="n"/>
    </row>
    <row r="113">
      <c r="A113" t="inlineStr">
        <is>
          <t>Required heads used</t>
        </is>
      </c>
      <c r="C113" s="12">
        <f>IF(C112="",C111,C112)</f>
        <v/>
      </c>
      <c r="D113" s="12">
        <f>IF(D112="",D111,D112)</f>
        <v/>
      </c>
      <c r="E113" s="12">
        <f>IF(E112="",E111,E112)</f>
        <v/>
      </c>
      <c r="F113" s="12">
        <f>IF(F112="",F111,F112)</f>
        <v/>
      </c>
      <c r="G113" s="12">
        <f>IF(G112="",G111,G112)</f>
        <v/>
      </c>
      <c r="H113" s="12">
        <f>IF(H112="",H111,H112)</f>
        <v/>
      </c>
      <c r="I113" s="12">
        <f>IF(I112="",I111,I112)</f>
        <v/>
      </c>
      <c r="J113" s="12">
        <f>IF(J112="",J111,J112)</f>
        <v/>
      </c>
    </row>
    <row r="114">
      <c r="A114" t="inlineStr">
        <is>
          <t>Heads at the start of the quarter</t>
        </is>
      </c>
      <c r="C114" s="10">
        <f>N(Assumptions!$E$58)</f>
        <v/>
      </c>
      <c r="D114" s="10">
        <f>C118*$B$119</f>
        <v/>
      </c>
      <c r="E114" s="10">
        <f>D118*$B$119</f>
        <v/>
      </c>
      <c r="F114" s="10">
        <f>E118*$B$119</f>
        <v/>
      </c>
      <c r="G114" s="10">
        <f>F118*$B$119</f>
        <v/>
      </c>
      <c r="H114" s="10">
        <f>G118*$B$119</f>
        <v/>
      </c>
      <c r="I114" s="10">
        <f>H118*$B$119</f>
        <v/>
      </c>
      <c r="J114" s="10">
        <f>I118*$B$119</f>
        <v/>
      </c>
    </row>
    <row r="115">
      <c r="A115" t="inlineStr">
        <is>
          <t>Hires</t>
        </is>
      </c>
      <c r="C115" s="12">
        <f>MAX(0,ROUND(C113-C114,0))</f>
        <v/>
      </c>
      <c r="D115" s="12">
        <f>MAX(0,ROUND(D113-D114,0))</f>
        <v/>
      </c>
      <c r="E115" s="12">
        <f>MAX(0,ROUND(E113-E114,0))</f>
        <v/>
      </c>
      <c r="F115" s="12">
        <f>MAX(0,ROUND(F113-F114,0))</f>
        <v/>
      </c>
      <c r="G115" s="12">
        <f>MAX(0,ROUND(G113-G114,0))</f>
        <v/>
      </c>
      <c r="H115" s="12">
        <f>MAX(0,ROUND(H113-H114,0))</f>
        <v/>
      </c>
      <c r="I115" s="12">
        <f>MAX(0,ROUND(I113-I114,0))</f>
        <v/>
      </c>
      <c r="J115" s="12">
        <f>MAX(0,ROUND(J113-J114,0))</f>
        <v/>
      </c>
      <c r="K115" s="12">
        <f>SUM(C115:F115)</f>
        <v/>
      </c>
      <c r="L115" s="12">
        <f>SUM(G115:J115)</f>
        <v/>
      </c>
    </row>
    <row r="116">
      <c r="A116" t="inlineStr">
        <is>
          <t>Backfill hires</t>
        </is>
      </c>
      <c r="C116" s="10">
        <f>0</f>
        <v/>
      </c>
      <c r="D116" s="10">
        <f>MIN(D115,C119)</f>
        <v/>
      </c>
      <c r="E116" s="10">
        <f>MIN(E115,D119)</f>
        <v/>
      </c>
      <c r="F116" s="10">
        <f>MIN(F115,E119)</f>
        <v/>
      </c>
      <c r="G116" s="10">
        <f>MIN(G115,F119)</f>
        <v/>
      </c>
      <c r="H116" s="10">
        <f>MIN(H115,G119)</f>
        <v/>
      </c>
      <c r="I116" s="10">
        <f>MIN(I115,H119)</f>
        <v/>
      </c>
      <c r="J116" s="10">
        <f>MIN(J115,I119)</f>
        <v/>
      </c>
      <c r="K116" s="10">
        <f>SUM(C116:F116)</f>
        <v/>
      </c>
      <c r="L116" s="10">
        <f>SUM(G116:J116)</f>
        <v/>
      </c>
    </row>
    <row r="117">
      <c r="A117" t="inlineStr">
        <is>
          <t>Growth hires</t>
        </is>
      </c>
      <c r="C117" s="10">
        <f>C115-C116</f>
        <v/>
      </c>
      <c r="D117" s="10">
        <f>D115-D116</f>
        <v/>
      </c>
      <c r="E117" s="10">
        <f>E115-E116</f>
        <v/>
      </c>
      <c r="F117" s="10">
        <f>F115-F116</f>
        <v/>
      </c>
      <c r="G117" s="10">
        <f>G115-G116</f>
        <v/>
      </c>
      <c r="H117" s="10">
        <f>H115-H116</f>
        <v/>
      </c>
      <c r="I117" s="10">
        <f>I115-I116</f>
        <v/>
      </c>
      <c r="J117" s="10">
        <f>J115-J116</f>
        <v/>
      </c>
      <c r="K117" s="10">
        <f>SUM(C117:F117)</f>
        <v/>
      </c>
      <c r="L117" s="10">
        <f>SUM(G117:J117)</f>
        <v/>
      </c>
    </row>
    <row r="118">
      <c r="A118" t="inlineStr">
        <is>
          <t>Heads during the quarter</t>
        </is>
      </c>
      <c r="C118" s="10">
        <f>C114+C115</f>
        <v/>
      </c>
      <c r="D118" s="10">
        <f>D114+D115</f>
        <v/>
      </c>
      <c r="E118" s="10">
        <f>E114+E115</f>
        <v/>
      </c>
      <c r="F118" s="10">
        <f>F114+F115</f>
        <v/>
      </c>
      <c r="G118" s="10">
        <f>G114+G115</f>
        <v/>
      </c>
      <c r="H118" s="10">
        <f>H114+H115</f>
        <v/>
      </c>
      <c r="I118" s="10">
        <f>I114+I115</f>
        <v/>
      </c>
      <c r="J118" s="10">
        <f>J114+J115</f>
        <v/>
      </c>
      <c r="K118" s="10">
        <f>F118</f>
        <v/>
      </c>
      <c r="L118" s="10">
        <f>J118</f>
        <v/>
      </c>
    </row>
    <row r="119">
      <c r="A119" t="inlineStr">
        <is>
          <t>Expected departures</t>
        </is>
      </c>
      <c r="B119" s="34">
        <f>IFERROR((1-N(Assumptions!F58))^(1/4),1)</f>
        <v/>
      </c>
      <c r="C119" s="10">
        <f>C118*(1-$B$119)</f>
        <v/>
      </c>
      <c r="D119" s="10">
        <f>D118*(1-$B$119)</f>
        <v/>
      </c>
      <c r="E119" s="10">
        <f>E118*(1-$B$119)</f>
        <v/>
      </c>
      <c r="F119" s="10">
        <f>F118*(1-$B$119)</f>
        <v/>
      </c>
      <c r="G119" s="10">
        <f>G118*(1-$B$119)</f>
        <v/>
      </c>
      <c r="H119" s="10">
        <f>H118*(1-$B$119)</f>
        <v/>
      </c>
      <c r="I119" s="10">
        <f>I118*(1-$B$119)</f>
        <v/>
      </c>
      <c r="J119" s="10">
        <f>J118*(1-$B$119)</f>
        <v/>
      </c>
      <c r="K119" s="10">
        <f>SUM(C119:F119)</f>
        <v/>
      </c>
      <c r="L119" s="10">
        <f>SUM(G119:J119)</f>
        <v/>
      </c>
    </row>
    <row r="120">
      <c r="A120" s="7" t="inlineStr">
        <is>
          <t>Fully loaded cost</t>
        </is>
      </c>
      <c r="C120" s="6">
        <f>C118*(N(Assumptions!$G$58)*(1+N(Assumptions!$B$15))^(C$4-1)*(1+N(Assumptions!$B$13))+N(Assumptions!$H$58)*(1+N(Assumptions!$B$15))^(C$4-1)+N(Assumptions!$B$14))/4+C115*N(Assumptions!$I$58)</f>
        <v/>
      </c>
      <c r="D120" s="6">
        <f>D118*(N(Assumptions!$G$58)*(1+N(Assumptions!$B$15))^(D$4-1)*(1+N(Assumptions!$B$13))+N(Assumptions!$H$58)*(1+N(Assumptions!$B$15))^(D$4-1)+N(Assumptions!$B$14))/4+D115*N(Assumptions!$I$58)</f>
        <v/>
      </c>
      <c r="E120" s="6">
        <f>E118*(N(Assumptions!$G$58)*(1+N(Assumptions!$B$15))^(E$4-1)*(1+N(Assumptions!$B$13))+N(Assumptions!$H$58)*(1+N(Assumptions!$B$15))^(E$4-1)+N(Assumptions!$B$14))/4+E115*N(Assumptions!$I$58)</f>
        <v/>
      </c>
      <c r="F120" s="6">
        <f>F118*(N(Assumptions!$G$58)*(1+N(Assumptions!$B$15))^(F$4-1)*(1+N(Assumptions!$B$13))+N(Assumptions!$H$58)*(1+N(Assumptions!$B$15))^(F$4-1)+N(Assumptions!$B$14))/4+F115*N(Assumptions!$I$58)</f>
        <v/>
      </c>
      <c r="G120" s="6">
        <f>G118*(N(Assumptions!$G$58)*(1+N(Assumptions!$B$15))^(G$4-1)*(1+N(Assumptions!$B$13))+N(Assumptions!$H$58)*(1+N(Assumptions!$B$15))^(G$4-1)+N(Assumptions!$B$14))/4+G115*N(Assumptions!$I$58)</f>
        <v/>
      </c>
      <c r="H120" s="6">
        <f>H118*(N(Assumptions!$G$58)*(1+N(Assumptions!$B$15))^(H$4-1)*(1+N(Assumptions!$B$13))+N(Assumptions!$H$58)*(1+N(Assumptions!$B$15))^(H$4-1)+N(Assumptions!$B$14))/4+H115*N(Assumptions!$I$58)</f>
        <v/>
      </c>
      <c r="I120" s="6">
        <f>I118*(N(Assumptions!$G$58)*(1+N(Assumptions!$B$15))^(I$4-1)*(1+N(Assumptions!$B$13))+N(Assumptions!$H$58)*(1+N(Assumptions!$B$15))^(I$4-1)+N(Assumptions!$B$14))/4+I115*N(Assumptions!$I$58)</f>
        <v/>
      </c>
      <c r="J120" s="6">
        <f>J118*(N(Assumptions!$G$58)*(1+N(Assumptions!$B$15))^(J$4-1)*(1+N(Assumptions!$B$13))+N(Assumptions!$H$58)*(1+N(Assumptions!$B$15))^(J$4-1)+N(Assumptions!$B$14))/4+J115*N(Assumptions!$I$58)</f>
        <v/>
      </c>
      <c r="K120" s="6">
        <f>SUM(C120:F120)</f>
        <v/>
      </c>
      <c r="L120" s="6">
        <f>SUM(G120:J120)</f>
        <v/>
      </c>
    </row>
    <row r="121"/>
    <row r="122">
      <c r="A122" s="20">
        <f>IF(Assumptions!A59="","Team 10",Assumptions!A59)</f>
        <v/>
      </c>
      <c r="B122" s="21" t="n"/>
      <c r="C122" s="21" t="n"/>
      <c r="D122" s="21" t="n"/>
      <c r="E122" s="21" t="n"/>
      <c r="F122" s="21" t="n"/>
      <c r="G122" s="21" t="n"/>
      <c r="H122" s="21" t="n"/>
      <c r="I122" s="21" t="n"/>
      <c r="J122" s="21" t="n"/>
      <c r="K122" s="21" t="n"/>
      <c r="L122" s="21" t="n"/>
    </row>
    <row r="123">
      <c r="A123" t="inlineStr">
        <is>
          <t>Required heads from the driver</t>
        </is>
      </c>
      <c r="C123" s="12">
        <f>N(Assumptions!$E$59)</f>
        <v/>
      </c>
      <c r="D123" s="12">
        <f>N(Assumptions!$E$59)</f>
        <v/>
      </c>
      <c r="E123" s="12">
        <f>N(Assumptions!$E$59)</f>
        <v/>
      </c>
      <c r="F123" s="12">
        <f>N(Assumptions!$E$59)</f>
        <v/>
      </c>
      <c r="G123" s="12">
        <f>N(Assumptions!$E$59)</f>
        <v/>
      </c>
      <c r="H123" s="12">
        <f>N(Assumptions!$E$59)</f>
        <v/>
      </c>
      <c r="I123" s="12">
        <f>N(Assumptions!$E$59)</f>
        <v/>
      </c>
      <c r="J123" s="12">
        <f>N(Assumptions!$E$59)</f>
        <v/>
      </c>
    </row>
    <row r="124">
      <c r="A124" t="inlineStr">
        <is>
          <t>Override required heads (optional)</t>
        </is>
      </c>
      <c r="C124" s="19" t="n"/>
      <c r="D124" s="19" t="n"/>
      <c r="E124" s="19" t="n"/>
      <c r="F124" s="19" t="n"/>
      <c r="G124" s="19" t="n"/>
      <c r="H124" s="19" t="n"/>
      <c r="I124" s="19" t="n"/>
      <c r="J124" s="19" t="n"/>
    </row>
    <row r="125">
      <c r="A125" t="inlineStr">
        <is>
          <t>Required heads used</t>
        </is>
      </c>
      <c r="C125" s="12">
        <f>IF(C124="",C123,C124)</f>
        <v/>
      </c>
      <c r="D125" s="12">
        <f>IF(D124="",D123,D124)</f>
        <v/>
      </c>
      <c r="E125" s="12">
        <f>IF(E124="",E123,E124)</f>
        <v/>
      </c>
      <c r="F125" s="12">
        <f>IF(F124="",F123,F124)</f>
        <v/>
      </c>
      <c r="G125" s="12">
        <f>IF(G124="",G123,G124)</f>
        <v/>
      </c>
      <c r="H125" s="12">
        <f>IF(H124="",H123,H124)</f>
        <v/>
      </c>
      <c r="I125" s="12">
        <f>IF(I124="",I123,I124)</f>
        <v/>
      </c>
      <c r="J125" s="12">
        <f>IF(J124="",J123,J124)</f>
        <v/>
      </c>
    </row>
    <row r="126">
      <c r="A126" t="inlineStr">
        <is>
          <t>Heads at the start of the quarter</t>
        </is>
      </c>
      <c r="C126" s="10">
        <f>N(Assumptions!$E$59)</f>
        <v/>
      </c>
      <c r="D126" s="10">
        <f>C130*$B$131</f>
        <v/>
      </c>
      <c r="E126" s="10">
        <f>D130*$B$131</f>
        <v/>
      </c>
      <c r="F126" s="10">
        <f>E130*$B$131</f>
        <v/>
      </c>
      <c r="G126" s="10">
        <f>F130*$B$131</f>
        <v/>
      </c>
      <c r="H126" s="10">
        <f>G130*$B$131</f>
        <v/>
      </c>
      <c r="I126" s="10">
        <f>H130*$B$131</f>
        <v/>
      </c>
      <c r="J126" s="10">
        <f>I130*$B$131</f>
        <v/>
      </c>
    </row>
    <row r="127">
      <c r="A127" t="inlineStr">
        <is>
          <t>Hires</t>
        </is>
      </c>
      <c r="C127" s="12">
        <f>MAX(0,ROUND(C125-C126,0))</f>
        <v/>
      </c>
      <c r="D127" s="12">
        <f>MAX(0,ROUND(D125-D126,0))</f>
        <v/>
      </c>
      <c r="E127" s="12">
        <f>MAX(0,ROUND(E125-E126,0))</f>
        <v/>
      </c>
      <c r="F127" s="12">
        <f>MAX(0,ROUND(F125-F126,0))</f>
        <v/>
      </c>
      <c r="G127" s="12">
        <f>MAX(0,ROUND(G125-G126,0))</f>
        <v/>
      </c>
      <c r="H127" s="12">
        <f>MAX(0,ROUND(H125-H126,0))</f>
        <v/>
      </c>
      <c r="I127" s="12">
        <f>MAX(0,ROUND(I125-I126,0))</f>
        <v/>
      </c>
      <c r="J127" s="12">
        <f>MAX(0,ROUND(J125-J126,0))</f>
        <v/>
      </c>
      <c r="K127" s="12">
        <f>SUM(C127:F127)</f>
        <v/>
      </c>
      <c r="L127" s="12">
        <f>SUM(G127:J127)</f>
        <v/>
      </c>
    </row>
    <row r="128">
      <c r="A128" t="inlineStr">
        <is>
          <t>Backfill hires</t>
        </is>
      </c>
      <c r="C128" s="10">
        <f>0</f>
        <v/>
      </c>
      <c r="D128" s="10">
        <f>MIN(D127,C131)</f>
        <v/>
      </c>
      <c r="E128" s="10">
        <f>MIN(E127,D131)</f>
        <v/>
      </c>
      <c r="F128" s="10">
        <f>MIN(F127,E131)</f>
        <v/>
      </c>
      <c r="G128" s="10">
        <f>MIN(G127,F131)</f>
        <v/>
      </c>
      <c r="H128" s="10">
        <f>MIN(H127,G131)</f>
        <v/>
      </c>
      <c r="I128" s="10">
        <f>MIN(I127,H131)</f>
        <v/>
      </c>
      <c r="J128" s="10">
        <f>MIN(J127,I131)</f>
        <v/>
      </c>
      <c r="K128" s="10">
        <f>SUM(C128:F128)</f>
        <v/>
      </c>
      <c r="L128" s="10">
        <f>SUM(G128:J128)</f>
        <v/>
      </c>
    </row>
    <row r="129">
      <c r="A129" t="inlineStr">
        <is>
          <t>Growth hires</t>
        </is>
      </c>
      <c r="C129" s="10">
        <f>C127-C128</f>
        <v/>
      </c>
      <c r="D129" s="10">
        <f>D127-D128</f>
        <v/>
      </c>
      <c r="E129" s="10">
        <f>E127-E128</f>
        <v/>
      </c>
      <c r="F129" s="10">
        <f>F127-F128</f>
        <v/>
      </c>
      <c r="G129" s="10">
        <f>G127-G128</f>
        <v/>
      </c>
      <c r="H129" s="10">
        <f>H127-H128</f>
        <v/>
      </c>
      <c r="I129" s="10">
        <f>I127-I128</f>
        <v/>
      </c>
      <c r="J129" s="10">
        <f>J127-J128</f>
        <v/>
      </c>
      <c r="K129" s="10">
        <f>SUM(C129:F129)</f>
        <v/>
      </c>
      <c r="L129" s="10">
        <f>SUM(G129:J129)</f>
        <v/>
      </c>
    </row>
    <row r="130">
      <c r="A130" t="inlineStr">
        <is>
          <t>Heads during the quarter</t>
        </is>
      </c>
      <c r="C130" s="10">
        <f>C126+C127</f>
        <v/>
      </c>
      <c r="D130" s="10">
        <f>D126+D127</f>
        <v/>
      </c>
      <c r="E130" s="10">
        <f>E126+E127</f>
        <v/>
      </c>
      <c r="F130" s="10">
        <f>F126+F127</f>
        <v/>
      </c>
      <c r="G130" s="10">
        <f>G126+G127</f>
        <v/>
      </c>
      <c r="H130" s="10">
        <f>H126+H127</f>
        <v/>
      </c>
      <c r="I130" s="10">
        <f>I126+I127</f>
        <v/>
      </c>
      <c r="J130" s="10">
        <f>J126+J127</f>
        <v/>
      </c>
      <c r="K130" s="10">
        <f>F130</f>
        <v/>
      </c>
      <c r="L130" s="10">
        <f>J130</f>
        <v/>
      </c>
    </row>
    <row r="131">
      <c r="A131" t="inlineStr">
        <is>
          <t>Expected departures</t>
        </is>
      </c>
      <c r="B131" s="34">
        <f>IFERROR((1-N(Assumptions!F59))^(1/4),1)</f>
        <v/>
      </c>
      <c r="C131" s="10">
        <f>C130*(1-$B$131)</f>
        <v/>
      </c>
      <c r="D131" s="10">
        <f>D130*(1-$B$131)</f>
        <v/>
      </c>
      <c r="E131" s="10">
        <f>E130*(1-$B$131)</f>
        <v/>
      </c>
      <c r="F131" s="10">
        <f>F130*(1-$B$131)</f>
        <v/>
      </c>
      <c r="G131" s="10">
        <f>G130*(1-$B$131)</f>
        <v/>
      </c>
      <c r="H131" s="10">
        <f>H130*(1-$B$131)</f>
        <v/>
      </c>
      <c r="I131" s="10">
        <f>I130*(1-$B$131)</f>
        <v/>
      </c>
      <c r="J131" s="10">
        <f>J130*(1-$B$131)</f>
        <v/>
      </c>
      <c r="K131" s="10">
        <f>SUM(C131:F131)</f>
        <v/>
      </c>
      <c r="L131" s="10">
        <f>SUM(G131:J131)</f>
        <v/>
      </c>
    </row>
    <row r="132">
      <c r="A132" s="7" t="inlineStr">
        <is>
          <t>Fully loaded cost</t>
        </is>
      </c>
      <c r="C132" s="6">
        <f>C130*(N(Assumptions!$G$59)*(1+N(Assumptions!$B$15))^(C$4-1)*(1+N(Assumptions!$B$13))+N(Assumptions!$H$59)*(1+N(Assumptions!$B$15))^(C$4-1)+N(Assumptions!$B$14))/4+C127*N(Assumptions!$I$59)</f>
        <v/>
      </c>
      <c r="D132" s="6">
        <f>D130*(N(Assumptions!$G$59)*(1+N(Assumptions!$B$15))^(D$4-1)*(1+N(Assumptions!$B$13))+N(Assumptions!$H$59)*(1+N(Assumptions!$B$15))^(D$4-1)+N(Assumptions!$B$14))/4+D127*N(Assumptions!$I$59)</f>
        <v/>
      </c>
      <c r="E132" s="6">
        <f>E130*(N(Assumptions!$G$59)*(1+N(Assumptions!$B$15))^(E$4-1)*(1+N(Assumptions!$B$13))+N(Assumptions!$H$59)*(1+N(Assumptions!$B$15))^(E$4-1)+N(Assumptions!$B$14))/4+E127*N(Assumptions!$I$59)</f>
        <v/>
      </c>
      <c r="F132" s="6">
        <f>F130*(N(Assumptions!$G$59)*(1+N(Assumptions!$B$15))^(F$4-1)*(1+N(Assumptions!$B$13))+N(Assumptions!$H$59)*(1+N(Assumptions!$B$15))^(F$4-1)+N(Assumptions!$B$14))/4+F127*N(Assumptions!$I$59)</f>
        <v/>
      </c>
      <c r="G132" s="6">
        <f>G130*(N(Assumptions!$G$59)*(1+N(Assumptions!$B$15))^(G$4-1)*(1+N(Assumptions!$B$13))+N(Assumptions!$H$59)*(1+N(Assumptions!$B$15))^(G$4-1)+N(Assumptions!$B$14))/4+G127*N(Assumptions!$I$59)</f>
        <v/>
      </c>
      <c r="H132" s="6">
        <f>H130*(N(Assumptions!$G$59)*(1+N(Assumptions!$B$15))^(H$4-1)*(1+N(Assumptions!$B$13))+N(Assumptions!$H$59)*(1+N(Assumptions!$B$15))^(H$4-1)+N(Assumptions!$B$14))/4+H127*N(Assumptions!$I$59)</f>
        <v/>
      </c>
      <c r="I132" s="6">
        <f>I130*(N(Assumptions!$G$59)*(1+N(Assumptions!$B$15))^(I$4-1)*(1+N(Assumptions!$B$13))+N(Assumptions!$H$59)*(1+N(Assumptions!$B$15))^(I$4-1)+N(Assumptions!$B$14))/4+I127*N(Assumptions!$I$59)</f>
        <v/>
      </c>
      <c r="J132" s="6">
        <f>J130*(N(Assumptions!$G$59)*(1+N(Assumptions!$B$15))^(J$4-1)*(1+N(Assumptions!$B$13))+N(Assumptions!$H$59)*(1+N(Assumptions!$B$15))^(J$4-1)+N(Assumptions!$B$14))/4+J127*N(Assumptions!$I$59)</f>
        <v/>
      </c>
      <c r="K132" s="6">
        <f>SUM(C132:F132)</f>
        <v/>
      </c>
      <c r="L132" s="6">
        <f>SUM(G132:J132)</f>
        <v/>
      </c>
    </row>
    <row r="133"/>
    <row r="134">
      <c r="A134" s="20">
        <f>IF(Assumptions!A60="","Team 11",Assumptions!A60)</f>
        <v/>
      </c>
      <c r="B134" s="21" t="n"/>
      <c r="C134" s="21" t="n"/>
      <c r="D134" s="21" t="n"/>
      <c r="E134" s="21" t="n"/>
      <c r="F134" s="21" t="n"/>
      <c r="G134" s="21" t="n"/>
      <c r="H134" s="21" t="n"/>
      <c r="I134" s="21" t="n"/>
      <c r="J134" s="21" t="n"/>
      <c r="K134" s="21" t="n"/>
      <c r="L134" s="21" t="n"/>
    </row>
    <row r="135">
      <c r="A135" t="inlineStr">
        <is>
          <t>Required heads from the driver</t>
        </is>
      </c>
      <c r="C135" s="12">
        <f>N(Assumptions!$E$60)</f>
        <v/>
      </c>
      <c r="D135" s="12">
        <f>N(Assumptions!$E$60)</f>
        <v/>
      </c>
      <c r="E135" s="12">
        <f>N(Assumptions!$E$60)</f>
        <v/>
      </c>
      <c r="F135" s="12">
        <f>N(Assumptions!$E$60)</f>
        <v/>
      </c>
      <c r="G135" s="12">
        <f>N(Assumptions!$E$60)</f>
        <v/>
      </c>
      <c r="H135" s="12">
        <f>N(Assumptions!$E$60)</f>
        <v/>
      </c>
      <c r="I135" s="12">
        <f>N(Assumptions!$E$60)</f>
        <v/>
      </c>
      <c r="J135" s="12">
        <f>N(Assumptions!$E$60)</f>
        <v/>
      </c>
    </row>
    <row r="136">
      <c r="A136" t="inlineStr">
        <is>
          <t>Override required heads (optional)</t>
        </is>
      </c>
      <c r="C136" s="19" t="n"/>
      <c r="D136" s="19" t="n"/>
      <c r="E136" s="19" t="n"/>
      <c r="F136" s="19" t="n"/>
      <c r="G136" s="19" t="n"/>
      <c r="H136" s="19" t="n"/>
      <c r="I136" s="19" t="n"/>
      <c r="J136" s="19" t="n"/>
    </row>
    <row r="137">
      <c r="A137" t="inlineStr">
        <is>
          <t>Required heads used</t>
        </is>
      </c>
      <c r="C137" s="12">
        <f>IF(C136="",C135,C136)</f>
        <v/>
      </c>
      <c r="D137" s="12">
        <f>IF(D136="",D135,D136)</f>
        <v/>
      </c>
      <c r="E137" s="12">
        <f>IF(E136="",E135,E136)</f>
        <v/>
      </c>
      <c r="F137" s="12">
        <f>IF(F136="",F135,F136)</f>
        <v/>
      </c>
      <c r="G137" s="12">
        <f>IF(G136="",G135,G136)</f>
        <v/>
      </c>
      <c r="H137" s="12">
        <f>IF(H136="",H135,H136)</f>
        <v/>
      </c>
      <c r="I137" s="12">
        <f>IF(I136="",I135,I136)</f>
        <v/>
      </c>
      <c r="J137" s="12">
        <f>IF(J136="",J135,J136)</f>
        <v/>
      </c>
    </row>
    <row r="138">
      <c r="A138" t="inlineStr">
        <is>
          <t>Heads at the start of the quarter</t>
        </is>
      </c>
      <c r="C138" s="10">
        <f>N(Assumptions!$E$60)</f>
        <v/>
      </c>
      <c r="D138" s="10">
        <f>C142*$B$143</f>
        <v/>
      </c>
      <c r="E138" s="10">
        <f>D142*$B$143</f>
        <v/>
      </c>
      <c r="F138" s="10">
        <f>E142*$B$143</f>
        <v/>
      </c>
      <c r="G138" s="10">
        <f>F142*$B$143</f>
        <v/>
      </c>
      <c r="H138" s="10">
        <f>G142*$B$143</f>
        <v/>
      </c>
      <c r="I138" s="10">
        <f>H142*$B$143</f>
        <v/>
      </c>
      <c r="J138" s="10">
        <f>I142*$B$143</f>
        <v/>
      </c>
    </row>
    <row r="139">
      <c r="A139" t="inlineStr">
        <is>
          <t>Hires</t>
        </is>
      </c>
      <c r="C139" s="12">
        <f>MAX(0,ROUND(C137-C138,0))</f>
        <v/>
      </c>
      <c r="D139" s="12">
        <f>MAX(0,ROUND(D137-D138,0))</f>
        <v/>
      </c>
      <c r="E139" s="12">
        <f>MAX(0,ROUND(E137-E138,0))</f>
        <v/>
      </c>
      <c r="F139" s="12">
        <f>MAX(0,ROUND(F137-F138,0))</f>
        <v/>
      </c>
      <c r="G139" s="12">
        <f>MAX(0,ROUND(G137-G138,0))</f>
        <v/>
      </c>
      <c r="H139" s="12">
        <f>MAX(0,ROUND(H137-H138,0))</f>
        <v/>
      </c>
      <c r="I139" s="12">
        <f>MAX(0,ROUND(I137-I138,0))</f>
        <v/>
      </c>
      <c r="J139" s="12">
        <f>MAX(0,ROUND(J137-J138,0))</f>
        <v/>
      </c>
      <c r="K139" s="12">
        <f>SUM(C139:F139)</f>
        <v/>
      </c>
      <c r="L139" s="12">
        <f>SUM(G139:J139)</f>
        <v/>
      </c>
    </row>
    <row r="140">
      <c r="A140" t="inlineStr">
        <is>
          <t>Backfill hires</t>
        </is>
      </c>
      <c r="C140" s="10">
        <f>0</f>
        <v/>
      </c>
      <c r="D140" s="10">
        <f>MIN(D139,C143)</f>
        <v/>
      </c>
      <c r="E140" s="10">
        <f>MIN(E139,D143)</f>
        <v/>
      </c>
      <c r="F140" s="10">
        <f>MIN(F139,E143)</f>
        <v/>
      </c>
      <c r="G140" s="10">
        <f>MIN(G139,F143)</f>
        <v/>
      </c>
      <c r="H140" s="10">
        <f>MIN(H139,G143)</f>
        <v/>
      </c>
      <c r="I140" s="10">
        <f>MIN(I139,H143)</f>
        <v/>
      </c>
      <c r="J140" s="10">
        <f>MIN(J139,I143)</f>
        <v/>
      </c>
      <c r="K140" s="10">
        <f>SUM(C140:F140)</f>
        <v/>
      </c>
      <c r="L140" s="10">
        <f>SUM(G140:J140)</f>
        <v/>
      </c>
    </row>
    <row r="141">
      <c r="A141" t="inlineStr">
        <is>
          <t>Growth hires</t>
        </is>
      </c>
      <c r="C141" s="10">
        <f>C139-C140</f>
        <v/>
      </c>
      <c r="D141" s="10">
        <f>D139-D140</f>
        <v/>
      </c>
      <c r="E141" s="10">
        <f>E139-E140</f>
        <v/>
      </c>
      <c r="F141" s="10">
        <f>F139-F140</f>
        <v/>
      </c>
      <c r="G141" s="10">
        <f>G139-G140</f>
        <v/>
      </c>
      <c r="H141" s="10">
        <f>H139-H140</f>
        <v/>
      </c>
      <c r="I141" s="10">
        <f>I139-I140</f>
        <v/>
      </c>
      <c r="J141" s="10">
        <f>J139-J140</f>
        <v/>
      </c>
      <c r="K141" s="10">
        <f>SUM(C141:F141)</f>
        <v/>
      </c>
      <c r="L141" s="10">
        <f>SUM(G141:J141)</f>
        <v/>
      </c>
    </row>
    <row r="142">
      <c r="A142" t="inlineStr">
        <is>
          <t>Heads during the quarter</t>
        </is>
      </c>
      <c r="C142" s="10">
        <f>C138+C139</f>
        <v/>
      </c>
      <c r="D142" s="10">
        <f>D138+D139</f>
        <v/>
      </c>
      <c r="E142" s="10">
        <f>E138+E139</f>
        <v/>
      </c>
      <c r="F142" s="10">
        <f>F138+F139</f>
        <v/>
      </c>
      <c r="G142" s="10">
        <f>G138+G139</f>
        <v/>
      </c>
      <c r="H142" s="10">
        <f>H138+H139</f>
        <v/>
      </c>
      <c r="I142" s="10">
        <f>I138+I139</f>
        <v/>
      </c>
      <c r="J142" s="10">
        <f>J138+J139</f>
        <v/>
      </c>
      <c r="K142" s="10">
        <f>F142</f>
        <v/>
      </c>
      <c r="L142" s="10">
        <f>J142</f>
        <v/>
      </c>
    </row>
    <row r="143">
      <c r="A143" t="inlineStr">
        <is>
          <t>Expected departures</t>
        </is>
      </c>
      <c r="B143" s="34">
        <f>IFERROR((1-N(Assumptions!F60))^(1/4),1)</f>
        <v/>
      </c>
      <c r="C143" s="10">
        <f>C142*(1-$B$143)</f>
        <v/>
      </c>
      <c r="D143" s="10">
        <f>D142*(1-$B$143)</f>
        <v/>
      </c>
      <c r="E143" s="10">
        <f>E142*(1-$B$143)</f>
        <v/>
      </c>
      <c r="F143" s="10">
        <f>F142*(1-$B$143)</f>
        <v/>
      </c>
      <c r="G143" s="10">
        <f>G142*(1-$B$143)</f>
        <v/>
      </c>
      <c r="H143" s="10">
        <f>H142*(1-$B$143)</f>
        <v/>
      </c>
      <c r="I143" s="10">
        <f>I142*(1-$B$143)</f>
        <v/>
      </c>
      <c r="J143" s="10">
        <f>J142*(1-$B$143)</f>
        <v/>
      </c>
      <c r="K143" s="10">
        <f>SUM(C143:F143)</f>
        <v/>
      </c>
      <c r="L143" s="10">
        <f>SUM(G143:J143)</f>
        <v/>
      </c>
    </row>
    <row r="144">
      <c r="A144" s="7" t="inlineStr">
        <is>
          <t>Fully loaded cost</t>
        </is>
      </c>
      <c r="C144" s="6">
        <f>C142*(N(Assumptions!$G$60)*(1+N(Assumptions!$B$15))^(C$4-1)*(1+N(Assumptions!$B$13))+N(Assumptions!$H$60)*(1+N(Assumptions!$B$15))^(C$4-1)+N(Assumptions!$B$14))/4+C139*N(Assumptions!$I$60)</f>
        <v/>
      </c>
      <c r="D144" s="6">
        <f>D142*(N(Assumptions!$G$60)*(1+N(Assumptions!$B$15))^(D$4-1)*(1+N(Assumptions!$B$13))+N(Assumptions!$H$60)*(1+N(Assumptions!$B$15))^(D$4-1)+N(Assumptions!$B$14))/4+D139*N(Assumptions!$I$60)</f>
        <v/>
      </c>
      <c r="E144" s="6">
        <f>E142*(N(Assumptions!$G$60)*(1+N(Assumptions!$B$15))^(E$4-1)*(1+N(Assumptions!$B$13))+N(Assumptions!$H$60)*(1+N(Assumptions!$B$15))^(E$4-1)+N(Assumptions!$B$14))/4+E139*N(Assumptions!$I$60)</f>
        <v/>
      </c>
      <c r="F144" s="6">
        <f>F142*(N(Assumptions!$G$60)*(1+N(Assumptions!$B$15))^(F$4-1)*(1+N(Assumptions!$B$13))+N(Assumptions!$H$60)*(1+N(Assumptions!$B$15))^(F$4-1)+N(Assumptions!$B$14))/4+F139*N(Assumptions!$I$60)</f>
        <v/>
      </c>
      <c r="G144" s="6">
        <f>G142*(N(Assumptions!$G$60)*(1+N(Assumptions!$B$15))^(G$4-1)*(1+N(Assumptions!$B$13))+N(Assumptions!$H$60)*(1+N(Assumptions!$B$15))^(G$4-1)+N(Assumptions!$B$14))/4+G139*N(Assumptions!$I$60)</f>
        <v/>
      </c>
      <c r="H144" s="6">
        <f>H142*(N(Assumptions!$G$60)*(1+N(Assumptions!$B$15))^(H$4-1)*(1+N(Assumptions!$B$13))+N(Assumptions!$H$60)*(1+N(Assumptions!$B$15))^(H$4-1)+N(Assumptions!$B$14))/4+H139*N(Assumptions!$I$60)</f>
        <v/>
      </c>
      <c r="I144" s="6">
        <f>I142*(N(Assumptions!$G$60)*(1+N(Assumptions!$B$15))^(I$4-1)*(1+N(Assumptions!$B$13))+N(Assumptions!$H$60)*(1+N(Assumptions!$B$15))^(I$4-1)+N(Assumptions!$B$14))/4+I139*N(Assumptions!$I$60)</f>
        <v/>
      </c>
      <c r="J144" s="6">
        <f>J142*(N(Assumptions!$G$60)*(1+N(Assumptions!$B$15))^(J$4-1)*(1+N(Assumptions!$B$13))+N(Assumptions!$H$60)*(1+N(Assumptions!$B$15))^(J$4-1)+N(Assumptions!$B$14))/4+J139*N(Assumptions!$I$60)</f>
        <v/>
      </c>
      <c r="K144" s="6">
        <f>SUM(C144:F144)</f>
        <v/>
      </c>
      <c r="L144" s="6">
        <f>SUM(G144:J144)</f>
        <v/>
      </c>
    </row>
    <row r="145"/>
    <row r="146">
      <c r="A146" s="2" t="inlineStr">
        <is>
          <t>Year columns: heads = the last quarter; hires, departures and cost are sums. Cost uses heads during the quarter (people join on day one and leave at quarter end) and charges recruiting cost once per hire.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3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4" customWidth="1" min="11" max="11"/>
    <col width="14" customWidth="1" min="12" max="12"/>
  </cols>
  <sheetData>
    <row r="1">
      <c r="A1" s="1" t="inlineStr">
        <is>
          <t>Hiring plan: hires by team and quarter, and the date each requisition must open</t>
        </is>
      </c>
    </row>
    <row r="2">
      <c r="A2" s="2" t="inlineStr">
        <is>
          <t>Blank template: same formulas, no company numbers. Yellow cells are inputs. Everything else is a formula.</t>
        </is>
      </c>
    </row>
    <row r="5">
      <c r="A5" s="5" t="inlineStr">
        <is>
          <t>Hires</t>
        </is>
      </c>
      <c r="B5" s="5" t="inlineStr">
        <is>
          <t>Dept</t>
        </is>
      </c>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t="inlineStr">
        <is>
          <t>Account executives</t>
        </is>
      </c>
      <c r="B6" t="inlineStr">
        <is>
          <t>S&amp;M</t>
        </is>
      </c>
      <c r="C6" s="12">
        <f>Teams!C8</f>
        <v/>
      </c>
      <c r="D6" s="12">
        <f>Teams!D8</f>
        <v/>
      </c>
      <c r="E6" s="12">
        <f>Teams!E8</f>
        <v/>
      </c>
      <c r="F6" s="12">
        <f>Teams!F8</f>
        <v/>
      </c>
      <c r="G6" s="12">
        <f>Teams!G8</f>
        <v/>
      </c>
      <c r="H6" s="12">
        <f>Teams!H8</f>
        <v/>
      </c>
      <c r="I6" s="12">
        <f>Teams!I8</f>
        <v/>
      </c>
      <c r="J6" s="12">
        <f>Teams!J8</f>
        <v/>
      </c>
      <c r="K6">
        <f>SUM(C6:F6)</f>
        <v/>
      </c>
      <c r="L6">
        <f>SUM(G6:J6)</f>
        <v/>
      </c>
    </row>
    <row r="7">
      <c r="A7">
        <f>Teams!A14</f>
        <v/>
      </c>
      <c r="B7">
        <f>IF(Assumptions!B50="","",Assumptions!B50)</f>
        <v/>
      </c>
      <c r="C7" s="12">
        <f>Teams!C19</f>
        <v/>
      </c>
      <c r="D7" s="12">
        <f>Teams!D19</f>
        <v/>
      </c>
      <c r="E7" s="12">
        <f>Teams!E19</f>
        <v/>
      </c>
      <c r="F7" s="12">
        <f>Teams!F19</f>
        <v/>
      </c>
      <c r="G7" s="12">
        <f>Teams!G19</f>
        <v/>
      </c>
      <c r="H7" s="12">
        <f>Teams!H19</f>
        <v/>
      </c>
      <c r="I7" s="12">
        <f>Teams!I19</f>
        <v/>
      </c>
      <c r="J7" s="12">
        <f>Teams!J19</f>
        <v/>
      </c>
      <c r="K7">
        <f>SUM(C7:F7)</f>
        <v/>
      </c>
      <c r="L7">
        <f>SUM(G7:J7)</f>
        <v/>
      </c>
    </row>
    <row r="8">
      <c r="A8">
        <f>Teams!A26</f>
        <v/>
      </c>
      <c r="B8">
        <f>IF(Assumptions!B51="","",Assumptions!B51)</f>
        <v/>
      </c>
      <c r="C8" s="12">
        <f>Teams!C31</f>
        <v/>
      </c>
      <c r="D8" s="12">
        <f>Teams!D31</f>
        <v/>
      </c>
      <c r="E8" s="12">
        <f>Teams!E31</f>
        <v/>
      </c>
      <c r="F8" s="12">
        <f>Teams!F31</f>
        <v/>
      </c>
      <c r="G8" s="12">
        <f>Teams!G31</f>
        <v/>
      </c>
      <c r="H8" s="12">
        <f>Teams!H31</f>
        <v/>
      </c>
      <c r="I8" s="12">
        <f>Teams!I31</f>
        <v/>
      </c>
      <c r="J8" s="12">
        <f>Teams!J31</f>
        <v/>
      </c>
      <c r="K8">
        <f>SUM(C8:F8)</f>
        <v/>
      </c>
      <c r="L8">
        <f>SUM(G8:J8)</f>
        <v/>
      </c>
    </row>
    <row r="9">
      <c r="A9">
        <f>Teams!A38</f>
        <v/>
      </c>
      <c r="B9">
        <f>IF(Assumptions!B52="","",Assumptions!B52)</f>
        <v/>
      </c>
      <c r="C9" s="12">
        <f>Teams!C43</f>
        <v/>
      </c>
      <c r="D9" s="12">
        <f>Teams!D43</f>
        <v/>
      </c>
      <c r="E9" s="12">
        <f>Teams!E43</f>
        <v/>
      </c>
      <c r="F9" s="12">
        <f>Teams!F43</f>
        <v/>
      </c>
      <c r="G9" s="12">
        <f>Teams!G43</f>
        <v/>
      </c>
      <c r="H9" s="12">
        <f>Teams!H43</f>
        <v/>
      </c>
      <c r="I9" s="12">
        <f>Teams!I43</f>
        <v/>
      </c>
      <c r="J9" s="12">
        <f>Teams!J43</f>
        <v/>
      </c>
      <c r="K9">
        <f>SUM(C9:F9)</f>
        <v/>
      </c>
      <c r="L9">
        <f>SUM(G9:J9)</f>
        <v/>
      </c>
    </row>
    <row r="10">
      <c r="A10">
        <f>Teams!A50</f>
        <v/>
      </c>
      <c r="B10">
        <f>IF(Assumptions!B53="","",Assumptions!B53)</f>
        <v/>
      </c>
      <c r="C10" s="12">
        <f>Teams!C55</f>
        <v/>
      </c>
      <c r="D10" s="12">
        <f>Teams!D55</f>
        <v/>
      </c>
      <c r="E10" s="12">
        <f>Teams!E55</f>
        <v/>
      </c>
      <c r="F10" s="12">
        <f>Teams!F55</f>
        <v/>
      </c>
      <c r="G10" s="12">
        <f>Teams!G55</f>
        <v/>
      </c>
      <c r="H10" s="12">
        <f>Teams!H55</f>
        <v/>
      </c>
      <c r="I10" s="12">
        <f>Teams!I55</f>
        <v/>
      </c>
      <c r="J10" s="12">
        <f>Teams!J55</f>
        <v/>
      </c>
      <c r="K10">
        <f>SUM(C10:F10)</f>
        <v/>
      </c>
      <c r="L10">
        <f>SUM(G10:J10)</f>
        <v/>
      </c>
    </row>
    <row r="11">
      <c r="A11">
        <f>Teams!A62</f>
        <v/>
      </c>
      <c r="B11">
        <f>IF(Assumptions!B54="","",Assumptions!B54)</f>
        <v/>
      </c>
      <c r="C11" s="12">
        <f>Teams!C67</f>
        <v/>
      </c>
      <c r="D11" s="12">
        <f>Teams!D67</f>
        <v/>
      </c>
      <c r="E11" s="12">
        <f>Teams!E67</f>
        <v/>
      </c>
      <c r="F11" s="12">
        <f>Teams!F67</f>
        <v/>
      </c>
      <c r="G11" s="12">
        <f>Teams!G67</f>
        <v/>
      </c>
      <c r="H11" s="12">
        <f>Teams!H67</f>
        <v/>
      </c>
      <c r="I11" s="12">
        <f>Teams!I67</f>
        <v/>
      </c>
      <c r="J11" s="12">
        <f>Teams!J67</f>
        <v/>
      </c>
      <c r="K11">
        <f>SUM(C11:F11)</f>
        <v/>
      </c>
      <c r="L11">
        <f>SUM(G11:J11)</f>
        <v/>
      </c>
    </row>
    <row r="12">
      <c r="A12">
        <f>Teams!A74</f>
        <v/>
      </c>
      <c r="B12">
        <f>IF(Assumptions!B55="","",Assumptions!B55)</f>
        <v/>
      </c>
      <c r="C12" s="12">
        <f>Teams!C79</f>
        <v/>
      </c>
      <c r="D12" s="12">
        <f>Teams!D79</f>
        <v/>
      </c>
      <c r="E12" s="12">
        <f>Teams!E79</f>
        <v/>
      </c>
      <c r="F12" s="12">
        <f>Teams!F79</f>
        <v/>
      </c>
      <c r="G12" s="12">
        <f>Teams!G79</f>
        <v/>
      </c>
      <c r="H12" s="12">
        <f>Teams!H79</f>
        <v/>
      </c>
      <c r="I12" s="12">
        <f>Teams!I79</f>
        <v/>
      </c>
      <c r="J12" s="12">
        <f>Teams!J79</f>
        <v/>
      </c>
      <c r="K12">
        <f>SUM(C12:F12)</f>
        <v/>
      </c>
      <c r="L12">
        <f>SUM(G12:J12)</f>
        <v/>
      </c>
    </row>
    <row r="13">
      <c r="A13">
        <f>Teams!A86</f>
        <v/>
      </c>
      <c r="B13">
        <f>IF(Assumptions!B56="","",Assumptions!B56)</f>
        <v/>
      </c>
      <c r="C13" s="12">
        <f>Teams!C91</f>
        <v/>
      </c>
      <c r="D13" s="12">
        <f>Teams!D91</f>
        <v/>
      </c>
      <c r="E13" s="12">
        <f>Teams!E91</f>
        <v/>
      </c>
      <c r="F13" s="12">
        <f>Teams!F91</f>
        <v/>
      </c>
      <c r="G13" s="12">
        <f>Teams!G91</f>
        <v/>
      </c>
      <c r="H13" s="12">
        <f>Teams!H91</f>
        <v/>
      </c>
      <c r="I13" s="12">
        <f>Teams!I91</f>
        <v/>
      </c>
      <c r="J13" s="12">
        <f>Teams!J91</f>
        <v/>
      </c>
      <c r="K13">
        <f>SUM(C13:F13)</f>
        <v/>
      </c>
      <c r="L13">
        <f>SUM(G13:J13)</f>
        <v/>
      </c>
    </row>
    <row r="14">
      <c r="A14">
        <f>Teams!A98</f>
        <v/>
      </c>
      <c r="B14">
        <f>IF(Assumptions!B57="","",Assumptions!B57)</f>
        <v/>
      </c>
      <c r="C14" s="12">
        <f>Teams!C103</f>
        <v/>
      </c>
      <c r="D14" s="12">
        <f>Teams!D103</f>
        <v/>
      </c>
      <c r="E14" s="12">
        <f>Teams!E103</f>
        <v/>
      </c>
      <c r="F14" s="12">
        <f>Teams!F103</f>
        <v/>
      </c>
      <c r="G14" s="12">
        <f>Teams!G103</f>
        <v/>
      </c>
      <c r="H14" s="12">
        <f>Teams!H103</f>
        <v/>
      </c>
      <c r="I14" s="12">
        <f>Teams!I103</f>
        <v/>
      </c>
      <c r="J14" s="12">
        <f>Teams!J103</f>
        <v/>
      </c>
      <c r="K14">
        <f>SUM(C14:F14)</f>
        <v/>
      </c>
      <c r="L14">
        <f>SUM(G14:J14)</f>
        <v/>
      </c>
    </row>
    <row r="15">
      <c r="A15">
        <f>Teams!A110</f>
        <v/>
      </c>
      <c r="B15">
        <f>IF(Assumptions!B58="","",Assumptions!B58)</f>
        <v/>
      </c>
      <c r="C15" s="12">
        <f>Teams!C115</f>
        <v/>
      </c>
      <c r="D15" s="12">
        <f>Teams!D115</f>
        <v/>
      </c>
      <c r="E15" s="12">
        <f>Teams!E115</f>
        <v/>
      </c>
      <c r="F15" s="12">
        <f>Teams!F115</f>
        <v/>
      </c>
      <c r="G15" s="12">
        <f>Teams!G115</f>
        <v/>
      </c>
      <c r="H15" s="12">
        <f>Teams!H115</f>
        <v/>
      </c>
      <c r="I15" s="12">
        <f>Teams!I115</f>
        <v/>
      </c>
      <c r="J15" s="12">
        <f>Teams!J115</f>
        <v/>
      </c>
      <c r="K15">
        <f>SUM(C15:F15)</f>
        <v/>
      </c>
      <c r="L15">
        <f>SUM(G15:J15)</f>
        <v/>
      </c>
    </row>
    <row r="16">
      <c r="A16">
        <f>Teams!A122</f>
        <v/>
      </c>
      <c r="B16">
        <f>IF(Assumptions!B59="","",Assumptions!B59)</f>
        <v/>
      </c>
      <c r="C16" s="12">
        <f>Teams!C127</f>
        <v/>
      </c>
      <c r="D16" s="12">
        <f>Teams!D127</f>
        <v/>
      </c>
      <c r="E16" s="12">
        <f>Teams!E127</f>
        <v/>
      </c>
      <c r="F16" s="12">
        <f>Teams!F127</f>
        <v/>
      </c>
      <c r="G16" s="12">
        <f>Teams!G127</f>
        <v/>
      </c>
      <c r="H16" s="12">
        <f>Teams!H127</f>
        <v/>
      </c>
      <c r="I16" s="12">
        <f>Teams!I127</f>
        <v/>
      </c>
      <c r="J16" s="12">
        <f>Teams!J127</f>
        <v/>
      </c>
      <c r="K16">
        <f>SUM(C16:F16)</f>
        <v/>
      </c>
      <c r="L16">
        <f>SUM(G16:J16)</f>
        <v/>
      </c>
    </row>
    <row r="17">
      <c r="A17">
        <f>Teams!A134</f>
        <v/>
      </c>
      <c r="B17">
        <f>IF(Assumptions!B60="","",Assumptions!B60)</f>
        <v/>
      </c>
      <c r="C17" s="12">
        <f>Teams!C139</f>
        <v/>
      </c>
      <c r="D17" s="12">
        <f>Teams!D139</f>
        <v/>
      </c>
      <c r="E17" s="12">
        <f>Teams!E139</f>
        <v/>
      </c>
      <c r="F17" s="12">
        <f>Teams!F139</f>
        <v/>
      </c>
      <c r="G17" s="12">
        <f>Teams!G139</f>
        <v/>
      </c>
      <c r="H17" s="12">
        <f>Teams!H139</f>
        <v/>
      </c>
      <c r="I17" s="12">
        <f>Teams!I139</f>
        <v/>
      </c>
      <c r="J17" s="12">
        <f>Teams!J139</f>
        <v/>
      </c>
      <c r="K17">
        <f>SUM(C17:F17)</f>
        <v/>
      </c>
      <c r="L17">
        <f>SUM(G17:J17)</f>
        <v/>
      </c>
    </row>
    <row r="18">
      <c r="A18" s="7" t="inlineStr">
        <is>
          <t>Total hires</t>
        </is>
      </c>
      <c r="C18" s="35">
        <f>SUM(C6:C17)</f>
        <v/>
      </c>
      <c r="D18" s="35">
        <f>SUM(D6:D17)</f>
        <v/>
      </c>
      <c r="E18" s="35">
        <f>SUM(E6:E17)</f>
        <v/>
      </c>
      <c r="F18" s="35">
        <f>SUM(F6:F17)</f>
        <v/>
      </c>
      <c r="G18" s="35">
        <f>SUM(G6:G17)</f>
        <v/>
      </c>
      <c r="H18" s="35">
        <f>SUM(H6:H17)</f>
        <v/>
      </c>
      <c r="I18" s="35">
        <f>SUM(I6:I17)</f>
        <v/>
      </c>
      <c r="J18" s="35">
        <f>SUM(J6:J17)</f>
        <v/>
      </c>
      <c r="K18" s="35">
        <f>SUM(K6:K17)</f>
        <v/>
      </c>
      <c r="L18" s="35">
        <f>SUM(L6:L17)</f>
        <v/>
      </c>
    </row>
    <row r="19">
      <c r="A19" s="7" t="inlineStr">
        <is>
          <t>of which backfills</t>
        </is>
      </c>
      <c r="C19" s="11">
        <f>Teams!C9+Teams!C20+Teams!C32+Teams!C44+Teams!C56+Teams!C68+Teams!C80+Teams!C92+Teams!C104+Teams!C116+Teams!C128+Teams!C140</f>
        <v/>
      </c>
      <c r="D19" s="11">
        <f>Teams!D9+Teams!D20+Teams!D32+Teams!D44+Teams!D56+Teams!D68+Teams!D80+Teams!D92+Teams!D104+Teams!D116+Teams!D128+Teams!D140</f>
        <v/>
      </c>
      <c r="E19" s="11">
        <f>Teams!E9+Teams!E20+Teams!E32+Teams!E44+Teams!E56+Teams!E68+Teams!E80+Teams!E92+Teams!E104+Teams!E116+Teams!E128+Teams!E140</f>
        <v/>
      </c>
      <c r="F19" s="11">
        <f>Teams!F9+Teams!F20+Teams!F32+Teams!F44+Teams!F56+Teams!F68+Teams!F80+Teams!F92+Teams!F104+Teams!F116+Teams!F128+Teams!F140</f>
        <v/>
      </c>
      <c r="G19" s="11">
        <f>Teams!G9+Teams!G20+Teams!G32+Teams!G44+Teams!G56+Teams!G68+Teams!G80+Teams!G92+Teams!G104+Teams!G116+Teams!G128+Teams!G140</f>
        <v/>
      </c>
      <c r="H19" s="11">
        <f>Teams!H9+Teams!H20+Teams!H32+Teams!H44+Teams!H56+Teams!H68+Teams!H80+Teams!H92+Teams!H104+Teams!H116+Teams!H128+Teams!H140</f>
        <v/>
      </c>
      <c r="I19" s="11">
        <f>Teams!I9+Teams!I20+Teams!I32+Teams!I44+Teams!I56+Teams!I68+Teams!I80+Teams!I92+Teams!I104+Teams!I116+Teams!I128+Teams!I140</f>
        <v/>
      </c>
      <c r="J19" s="11">
        <f>Teams!J9+Teams!J20+Teams!J32+Teams!J44+Teams!J56+Teams!J68+Teams!J80+Teams!J92+Teams!J104+Teams!J116+Teams!J128+Teams!J140</f>
        <v/>
      </c>
      <c r="K19" s="11">
        <f>SUM(C19:F19)</f>
        <v/>
      </c>
      <c r="L19" s="11">
        <f>SUM(G19:J19)</f>
        <v/>
      </c>
    </row>
    <row r="20">
      <c r="A20" s="7" t="inlineStr">
        <is>
          <t>of which growth hires</t>
        </is>
      </c>
      <c r="C20" s="11">
        <f>Teams!C10+Teams!C21+Teams!C33+Teams!C45+Teams!C57+Teams!C69+Teams!C81+Teams!C93+Teams!C105+Teams!C117+Teams!C129+Teams!C141</f>
        <v/>
      </c>
      <c r="D20" s="11">
        <f>Teams!D10+Teams!D21+Teams!D33+Teams!D45+Teams!D57+Teams!D69+Teams!D81+Teams!D93+Teams!D105+Teams!D117+Teams!D129+Teams!D141</f>
        <v/>
      </c>
      <c r="E20" s="11">
        <f>Teams!E10+Teams!E21+Teams!E33+Teams!E45+Teams!E57+Teams!E69+Teams!E81+Teams!E93+Teams!E105+Teams!E117+Teams!E129+Teams!E141</f>
        <v/>
      </c>
      <c r="F20" s="11">
        <f>Teams!F10+Teams!F21+Teams!F33+Teams!F45+Teams!F57+Teams!F69+Teams!F81+Teams!F93+Teams!F105+Teams!F117+Teams!F129+Teams!F141</f>
        <v/>
      </c>
      <c r="G20" s="11">
        <f>Teams!G10+Teams!G21+Teams!G33+Teams!G45+Teams!G57+Teams!G69+Teams!G81+Teams!G93+Teams!G105+Teams!G117+Teams!G129+Teams!G141</f>
        <v/>
      </c>
      <c r="H20" s="11">
        <f>Teams!H10+Teams!H21+Teams!H33+Teams!H45+Teams!H57+Teams!H69+Teams!H81+Teams!H93+Teams!H105+Teams!H117+Teams!H129+Teams!H141</f>
        <v/>
      </c>
      <c r="I20" s="11">
        <f>Teams!I10+Teams!I21+Teams!I33+Teams!I45+Teams!I57+Teams!I69+Teams!I81+Teams!I93+Teams!I105+Teams!I117+Teams!I129+Teams!I141</f>
        <v/>
      </c>
      <c r="J20" s="11">
        <f>Teams!J10+Teams!J21+Teams!J33+Teams!J45+Teams!J57+Teams!J69+Teams!J81+Teams!J93+Teams!J105+Teams!J117+Teams!J129+Teams!J141</f>
        <v/>
      </c>
      <c r="K20" s="11">
        <f>SUM(C20:F20)</f>
        <v/>
      </c>
      <c r="L20" s="11">
        <f>SUM(G20:J20)</f>
        <v/>
      </c>
    </row>
    <row r="22" ht="30" customHeight="1">
      <c r="A22" s="5" t="inlineStr">
        <is>
          <t>Open the requisition by</t>
        </is>
      </c>
      <c r="B22" s="5" t="inlineStr">
        <is>
          <t>Time to fill</t>
        </is>
      </c>
      <c r="C22" s="5" t="inlineStr">
        <is>
          <t>Y1 Q1</t>
        </is>
      </c>
      <c r="D22" s="5" t="inlineStr">
        <is>
          <t>Y1 Q2</t>
        </is>
      </c>
      <c r="E22" s="5" t="inlineStr">
        <is>
          <t>Y1 Q3</t>
        </is>
      </c>
      <c r="F22" s="5" t="inlineStr">
        <is>
          <t>Y1 Q4</t>
        </is>
      </c>
      <c r="G22" s="5" t="inlineStr">
        <is>
          <t>Y2 Q1</t>
        </is>
      </c>
      <c r="H22" s="5" t="inlineStr">
        <is>
          <t>Y2 Q2</t>
        </is>
      </c>
      <c r="I22" s="5" t="inlineStr">
        <is>
          <t>Y2 Q3</t>
        </is>
      </c>
      <c r="J22" s="5" t="inlineStr">
        <is>
          <t>Y2 Q4</t>
        </is>
      </c>
      <c r="K22" s="5" t="inlineStr">
        <is>
          <t>Q1 hires to open before year 1</t>
        </is>
      </c>
      <c r="L22" s="5" t="inlineStr"/>
    </row>
    <row r="23">
      <c r="A23">
        <f>A6</f>
        <v/>
      </c>
      <c r="B23">
        <f>N(Assumptions!$B$46)</f>
        <v/>
      </c>
      <c r="C23" s="30">
        <f>IF(OR(C6&lt;=0,'ARR target'!B21=""),"",'ARR target'!B21-$B23)</f>
        <v/>
      </c>
      <c r="D23" s="30">
        <f>IF(OR(D6&lt;=0,'ARR target'!C21=""),"",'ARR target'!C21-$B23)</f>
        <v/>
      </c>
      <c r="E23" s="30">
        <f>IF(OR(E6&lt;=0,'ARR target'!D21=""),"",'ARR target'!D21-$B23)</f>
        <v/>
      </c>
      <c r="F23" s="30">
        <f>IF(OR(F6&lt;=0,'ARR target'!E21=""),"",'ARR target'!E21-$B23)</f>
        <v/>
      </c>
      <c r="G23" s="30">
        <f>IF(OR(G6&lt;=0,'ARR target'!F21=""),"",'ARR target'!F21-$B23)</f>
        <v/>
      </c>
      <c r="H23" s="30">
        <f>IF(OR(H6&lt;=0,'ARR target'!G21=""),"",'ARR target'!G21-$B23)</f>
        <v/>
      </c>
      <c r="I23" s="30">
        <f>IF(OR(I6&lt;=0,'ARR target'!H21=""),"",'ARR target'!H21-$B23)</f>
        <v/>
      </c>
      <c r="J23" s="30">
        <f>IF(OR(J6&lt;=0,'ARR target'!I21=""),"",'ARR target'!I21-$B23)</f>
        <v/>
      </c>
      <c r="K23" s="12">
        <f>IF(C23="",0,IF(C23&lt;Assumptions!$B$5,C6,0))</f>
        <v/>
      </c>
    </row>
    <row r="24">
      <c r="A24">
        <f>A7</f>
        <v/>
      </c>
      <c r="B24">
        <f>N(Assumptions!$J$50)</f>
        <v/>
      </c>
      <c r="C24" s="30">
        <f>IF(OR(C7&lt;=0,'ARR target'!B21=""),"",'ARR target'!B21-$B24)</f>
        <v/>
      </c>
      <c r="D24" s="30">
        <f>IF(OR(D7&lt;=0,'ARR target'!C21=""),"",'ARR target'!C21-$B24)</f>
        <v/>
      </c>
      <c r="E24" s="30">
        <f>IF(OR(E7&lt;=0,'ARR target'!D21=""),"",'ARR target'!D21-$B24)</f>
        <v/>
      </c>
      <c r="F24" s="30">
        <f>IF(OR(F7&lt;=0,'ARR target'!E21=""),"",'ARR target'!E21-$B24)</f>
        <v/>
      </c>
      <c r="G24" s="30">
        <f>IF(OR(G7&lt;=0,'ARR target'!F21=""),"",'ARR target'!F21-$B24)</f>
        <v/>
      </c>
      <c r="H24" s="30">
        <f>IF(OR(H7&lt;=0,'ARR target'!G21=""),"",'ARR target'!G21-$B24)</f>
        <v/>
      </c>
      <c r="I24" s="30">
        <f>IF(OR(I7&lt;=0,'ARR target'!H21=""),"",'ARR target'!H21-$B24)</f>
        <v/>
      </c>
      <c r="J24" s="30">
        <f>IF(OR(J7&lt;=0,'ARR target'!I21=""),"",'ARR target'!I21-$B24)</f>
        <v/>
      </c>
      <c r="K24" s="12">
        <f>IF(C24="",0,IF(C24&lt;Assumptions!$B$5,C7,0))</f>
        <v/>
      </c>
    </row>
    <row r="25">
      <c r="A25">
        <f>A8</f>
        <v/>
      </c>
      <c r="B25">
        <f>N(Assumptions!$J$51)</f>
        <v/>
      </c>
      <c r="C25" s="30">
        <f>IF(OR(C8&lt;=0,'ARR target'!B21=""),"",'ARR target'!B21-$B25)</f>
        <v/>
      </c>
      <c r="D25" s="30">
        <f>IF(OR(D8&lt;=0,'ARR target'!C21=""),"",'ARR target'!C21-$B25)</f>
        <v/>
      </c>
      <c r="E25" s="30">
        <f>IF(OR(E8&lt;=0,'ARR target'!D21=""),"",'ARR target'!D21-$B25)</f>
        <v/>
      </c>
      <c r="F25" s="30">
        <f>IF(OR(F8&lt;=0,'ARR target'!E21=""),"",'ARR target'!E21-$B25)</f>
        <v/>
      </c>
      <c r="G25" s="30">
        <f>IF(OR(G8&lt;=0,'ARR target'!F21=""),"",'ARR target'!F21-$B25)</f>
        <v/>
      </c>
      <c r="H25" s="30">
        <f>IF(OR(H8&lt;=0,'ARR target'!G21=""),"",'ARR target'!G21-$B25)</f>
        <v/>
      </c>
      <c r="I25" s="30">
        <f>IF(OR(I8&lt;=0,'ARR target'!H21=""),"",'ARR target'!H21-$B25)</f>
        <v/>
      </c>
      <c r="J25" s="30">
        <f>IF(OR(J8&lt;=0,'ARR target'!I21=""),"",'ARR target'!I21-$B25)</f>
        <v/>
      </c>
      <c r="K25" s="12">
        <f>IF(C25="",0,IF(C25&lt;Assumptions!$B$5,C8,0))</f>
        <v/>
      </c>
    </row>
    <row r="26">
      <c r="A26">
        <f>A9</f>
        <v/>
      </c>
      <c r="B26">
        <f>N(Assumptions!$J$52)</f>
        <v/>
      </c>
      <c r="C26" s="30">
        <f>IF(OR(C9&lt;=0,'ARR target'!B21=""),"",'ARR target'!B21-$B26)</f>
        <v/>
      </c>
      <c r="D26" s="30">
        <f>IF(OR(D9&lt;=0,'ARR target'!C21=""),"",'ARR target'!C21-$B26)</f>
        <v/>
      </c>
      <c r="E26" s="30">
        <f>IF(OR(E9&lt;=0,'ARR target'!D21=""),"",'ARR target'!D21-$B26)</f>
        <v/>
      </c>
      <c r="F26" s="30">
        <f>IF(OR(F9&lt;=0,'ARR target'!E21=""),"",'ARR target'!E21-$B26)</f>
        <v/>
      </c>
      <c r="G26" s="30">
        <f>IF(OR(G9&lt;=0,'ARR target'!F21=""),"",'ARR target'!F21-$B26)</f>
        <v/>
      </c>
      <c r="H26" s="30">
        <f>IF(OR(H9&lt;=0,'ARR target'!G21=""),"",'ARR target'!G21-$B26)</f>
        <v/>
      </c>
      <c r="I26" s="30">
        <f>IF(OR(I9&lt;=0,'ARR target'!H21=""),"",'ARR target'!H21-$B26)</f>
        <v/>
      </c>
      <c r="J26" s="30">
        <f>IF(OR(J9&lt;=0,'ARR target'!I21=""),"",'ARR target'!I21-$B26)</f>
        <v/>
      </c>
      <c r="K26" s="12">
        <f>IF(C26="",0,IF(C26&lt;Assumptions!$B$5,C9,0))</f>
        <v/>
      </c>
    </row>
    <row r="27">
      <c r="A27">
        <f>A10</f>
        <v/>
      </c>
      <c r="B27">
        <f>N(Assumptions!$J$53)</f>
        <v/>
      </c>
      <c r="C27" s="30">
        <f>IF(OR(C10&lt;=0,'ARR target'!B21=""),"",'ARR target'!B21-$B27)</f>
        <v/>
      </c>
      <c r="D27" s="30">
        <f>IF(OR(D10&lt;=0,'ARR target'!C21=""),"",'ARR target'!C21-$B27)</f>
        <v/>
      </c>
      <c r="E27" s="30">
        <f>IF(OR(E10&lt;=0,'ARR target'!D21=""),"",'ARR target'!D21-$B27)</f>
        <v/>
      </c>
      <c r="F27" s="30">
        <f>IF(OR(F10&lt;=0,'ARR target'!E21=""),"",'ARR target'!E21-$B27)</f>
        <v/>
      </c>
      <c r="G27" s="30">
        <f>IF(OR(G10&lt;=0,'ARR target'!F21=""),"",'ARR target'!F21-$B27)</f>
        <v/>
      </c>
      <c r="H27" s="30">
        <f>IF(OR(H10&lt;=0,'ARR target'!G21=""),"",'ARR target'!G21-$B27)</f>
        <v/>
      </c>
      <c r="I27" s="30">
        <f>IF(OR(I10&lt;=0,'ARR target'!H21=""),"",'ARR target'!H21-$B27)</f>
        <v/>
      </c>
      <c r="J27" s="30">
        <f>IF(OR(J10&lt;=0,'ARR target'!I21=""),"",'ARR target'!I21-$B27)</f>
        <v/>
      </c>
      <c r="K27" s="12">
        <f>IF(C27="",0,IF(C27&lt;Assumptions!$B$5,C10,0))</f>
        <v/>
      </c>
    </row>
    <row r="28">
      <c r="A28">
        <f>A11</f>
        <v/>
      </c>
      <c r="B28">
        <f>N(Assumptions!$J$54)</f>
        <v/>
      </c>
      <c r="C28" s="30">
        <f>IF(OR(C11&lt;=0,'ARR target'!B21=""),"",'ARR target'!B21-$B28)</f>
        <v/>
      </c>
      <c r="D28" s="30">
        <f>IF(OR(D11&lt;=0,'ARR target'!C21=""),"",'ARR target'!C21-$B28)</f>
        <v/>
      </c>
      <c r="E28" s="30">
        <f>IF(OR(E11&lt;=0,'ARR target'!D21=""),"",'ARR target'!D21-$B28)</f>
        <v/>
      </c>
      <c r="F28" s="30">
        <f>IF(OR(F11&lt;=0,'ARR target'!E21=""),"",'ARR target'!E21-$B28)</f>
        <v/>
      </c>
      <c r="G28" s="30">
        <f>IF(OR(G11&lt;=0,'ARR target'!F21=""),"",'ARR target'!F21-$B28)</f>
        <v/>
      </c>
      <c r="H28" s="30">
        <f>IF(OR(H11&lt;=0,'ARR target'!G21=""),"",'ARR target'!G21-$B28)</f>
        <v/>
      </c>
      <c r="I28" s="30">
        <f>IF(OR(I11&lt;=0,'ARR target'!H21=""),"",'ARR target'!H21-$B28)</f>
        <v/>
      </c>
      <c r="J28" s="30">
        <f>IF(OR(J11&lt;=0,'ARR target'!I21=""),"",'ARR target'!I21-$B28)</f>
        <v/>
      </c>
      <c r="K28" s="12">
        <f>IF(C28="",0,IF(C28&lt;Assumptions!$B$5,C11,0))</f>
        <v/>
      </c>
    </row>
    <row r="29">
      <c r="A29">
        <f>A12</f>
        <v/>
      </c>
      <c r="B29">
        <f>N(Assumptions!$J$55)</f>
        <v/>
      </c>
      <c r="C29" s="30">
        <f>IF(OR(C12&lt;=0,'ARR target'!B21=""),"",'ARR target'!B21-$B29)</f>
        <v/>
      </c>
      <c r="D29" s="30">
        <f>IF(OR(D12&lt;=0,'ARR target'!C21=""),"",'ARR target'!C21-$B29)</f>
        <v/>
      </c>
      <c r="E29" s="30">
        <f>IF(OR(E12&lt;=0,'ARR target'!D21=""),"",'ARR target'!D21-$B29)</f>
        <v/>
      </c>
      <c r="F29" s="30">
        <f>IF(OR(F12&lt;=0,'ARR target'!E21=""),"",'ARR target'!E21-$B29)</f>
        <v/>
      </c>
      <c r="G29" s="30">
        <f>IF(OR(G12&lt;=0,'ARR target'!F21=""),"",'ARR target'!F21-$B29)</f>
        <v/>
      </c>
      <c r="H29" s="30">
        <f>IF(OR(H12&lt;=0,'ARR target'!G21=""),"",'ARR target'!G21-$B29)</f>
        <v/>
      </c>
      <c r="I29" s="30">
        <f>IF(OR(I12&lt;=0,'ARR target'!H21=""),"",'ARR target'!H21-$B29)</f>
        <v/>
      </c>
      <c r="J29" s="30">
        <f>IF(OR(J12&lt;=0,'ARR target'!I21=""),"",'ARR target'!I21-$B29)</f>
        <v/>
      </c>
      <c r="K29" s="12">
        <f>IF(C29="",0,IF(C29&lt;Assumptions!$B$5,C12,0))</f>
        <v/>
      </c>
    </row>
    <row r="30">
      <c r="A30">
        <f>A13</f>
        <v/>
      </c>
      <c r="B30">
        <f>N(Assumptions!$J$56)</f>
        <v/>
      </c>
      <c r="C30" s="30">
        <f>IF(OR(C13&lt;=0,'ARR target'!B21=""),"",'ARR target'!B21-$B30)</f>
        <v/>
      </c>
      <c r="D30" s="30">
        <f>IF(OR(D13&lt;=0,'ARR target'!C21=""),"",'ARR target'!C21-$B30)</f>
        <v/>
      </c>
      <c r="E30" s="30">
        <f>IF(OR(E13&lt;=0,'ARR target'!D21=""),"",'ARR target'!D21-$B30)</f>
        <v/>
      </c>
      <c r="F30" s="30">
        <f>IF(OR(F13&lt;=0,'ARR target'!E21=""),"",'ARR target'!E21-$B30)</f>
        <v/>
      </c>
      <c r="G30" s="30">
        <f>IF(OR(G13&lt;=0,'ARR target'!F21=""),"",'ARR target'!F21-$B30)</f>
        <v/>
      </c>
      <c r="H30" s="30">
        <f>IF(OR(H13&lt;=0,'ARR target'!G21=""),"",'ARR target'!G21-$B30)</f>
        <v/>
      </c>
      <c r="I30" s="30">
        <f>IF(OR(I13&lt;=0,'ARR target'!H21=""),"",'ARR target'!H21-$B30)</f>
        <v/>
      </c>
      <c r="J30" s="30">
        <f>IF(OR(J13&lt;=0,'ARR target'!I21=""),"",'ARR target'!I21-$B30)</f>
        <v/>
      </c>
      <c r="K30" s="12">
        <f>IF(C30="",0,IF(C30&lt;Assumptions!$B$5,C13,0))</f>
        <v/>
      </c>
    </row>
    <row r="31">
      <c r="A31">
        <f>A14</f>
        <v/>
      </c>
      <c r="B31">
        <f>N(Assumptions!$J$57)</f>
        <v/>
      </c>
      <c r="C31" s="30">
        <f>IF(OR(C14&lt;=0,'ARR target'!B21=""),"",'ARR target'!B21-$B31)</f>
        <v/>
      </c>
      <c r="D31" s="30">
        <f>IF(OR(D14&lt;=0,'ARR target'!C21=""),"",'ARR target'!C21-$B31)</f>
        <v/>
      </c>
      <c r="E31" s="30">
        <f>IF(OR(E14&lt;=0,'ARR target'!D21=""),"",'ARR target'!D21-$B31)</f>
        <v/>
      </c>
      <c r="F31" s="30">
        <f>IF(OR(F14&lt;=0,'ARR target'!E21=""),"",'ARR target'!E21-$B31)</f>
        <v/>
      </c>
      <c r="G31" s="30">
        <f>IF(OR(G14&lt;=0,'ARR target'!F21=""),"",'ARR target'!F21-$B31)</f>
        <v/>
      </c>
      <c r="H31" s="30">
        <f>IF(OR(H14&lt;=0,'ARR target'!G21=""),"",'ARR target'!G21-$B31)</f>
        <v/>
      </c>
      <c r="I31" s="30">
        <f>IF(OR(I14&lt;=0,'ARR target'!H21=""),"",'ARR target'!H21-$B31)</f>
        <v/>
      </c>
      <c r="J31" s="30">
        <f>IF(OR(J14&lt;=0,'ARR target'!I21=""),"",'ARR target'!I21-$B31)</f>
        <v/>
      </c>
      <c r="K31" s="12">
        <f>IF(C31="",0,IF(C31&lt;Assumptions!$B$5,C14,0))</f>
        <v/>
      </c>
    </row>
    <row r="32">
      <c r="A32">
        <f>A15</f>
        <v/>
      </c>
      <c r="B32">
        <f>N(Assumptions!$J$58)</f>
        <v/>
      </c>
      <c r="C32" s="30">
        <f>IF(OR(C15&lt;=0,'ARR target'!B21=""),"",'ARR target'!B21-$B32)</f>
        <v/>
      </c>
      <c r="D32" s="30">
        <f>IF(OR(D15&lt;=0,'ARR target'!C21=""),"",'ARR target'!C21-$B32)</f>
        <v/>
      </c>
      <c r="E32" s="30">
        <f>IF(OR(E15&lt;=0,'ARR target'!D21=""),"",'ARR target'!D21-$B32)</f>
        <v/>
      </c>
      <c r="F32" s="30">
        <f>IF(OR(F15&lt;=0,'ARR target'!E21=""),"",'ARR target'!E21-$B32)</f>
        <v/>
      </c>
      <c r="G32" s="30">
        <f>IF(OR(G15&lt;=0,'ARR target'!F21=""),"",'ARR target'!F21-$B32)</f>
        <v/>
      </c>
      <c r="H32" s="30">
        <f>IF(OR(H15&lt;=0,'ARR target'!G21=""),"",'ARR target'!G21-$B32)</f>
        <v/>
      </c>
      <c r="I32" s="30">
        <f>IF(OR(I15&lt;=0,'ARR target'!H21=""),"",'ARR target'!H21-$B32)</f>
        <v/>
      </c>
      <c r="J32" s="30">
        <f>IF(OR(J15&lt;=0,'ARR target'!I21=""),"",'ARR target'!I21-$B32)</f>
        <v/>
      </c>
      <c r="K32" s="12">
        <f>IF(C32="",0,IF(C32&lt;Assumptions!$B$5,C15,0))</f>
        <v/>
      </c>
    </row>
    <row r="33">
      <c r="A33">
        <f>A16</f>
        <v/>
      </c>
      <c r="B33">
        <f>N(Assumptions!$J$59)</f>
        <v/>
      </c>
      <c r="C33" s="30">
        <f>IF(OR(C16&lt;=0,'ARR target'!B21=""),"",'ARR target'!B21-$B33)</f>
        <v/>
      </c>
      <c r="D33" s="30">
        <f>IF(OR(D16&lt;=0,'ARR target'!C21=""),"",'ARR target'!C21-$B33)</f>
        <v/>
      </c>
      <c r="E33" s="30">
        <f>IF(OR(E16&lt;=0,'ARR target'!D21=""),"",'ARR target'!D21-$B33)</f>
        <v/>
      </c>
      <c r="F33" s="30">
        <f>IF(OR(F16&lt;=0,'ARR target'!E21=""),"",'ARR target'!E21-$B33)</f>
        <v/>
      </c>
      <c r="G33" s="30">
        <f>IF(OR(G16&lt;=0,'ARR target'!F21=""),"",'ARR target'!F21-$B33)</f>
        <v/>
      </c>
      <c r="H33" s="30">
        <f>IF(OR(H16&lt;=0,'ARR target'!G21=""),"",'ARR target'!G21-$B33)</f>
        <v/>
      </c>
      <c r="I33" s="30">
        <f>IF(OR(I16&lt;=0,'ARR target'!H21=""),"",'ARR target'!H21-$B33)</f>
        <v/>
      </c>
      <c r="J33" s="30">
        <f>IF(OR(J16&lt;=0,'ARR target'!I21=""),"",'ARR target'!I21-$B33)</f>
        <v/>
      </c>
      <c r="K33" s="12">
        <f>IF(C33="",0,IF(C33&lt;Assumptions!$B$5,C16,0))</f>
        <v/>
      </c>
    </row>
    <row r="34">
      <c r="A34">
        <f>A17</f>
        <v/>
      </c>
      <c r="B34">
        <f>N(Assumptions!$J$60)</f>
        <v/>
      </c>
      <c r="C34" s="30">
        <f>IF(OR(C17&lt;=0,'ARR target'!B21=""),"",'ARR target'!B21-$B34)</f>
        <v/>
      </c>
      <c r="D34" s="30">
        <f>IF(OR(D17&lt;=0,'ARR target'!C21=""),"",'ARR target'!C21-$B34)</f>
        <v/>
      </c>
      <c r="E34" s="30">
        <f>IF(OR(E17&lt;=0,'ARR target'!D21=""),"",'ARR target'!D21-$B34)</f>
        <v/>
      </c>
      <c r="F34" s="30">
        <f>IF(OR(F17&lt;=0,'ARR target'!E21=""),"",'ARR target'!E21-$B34)</f>
        <v/>
      </c>
      <c r="G34" s="30">
        <f>IF(OR(G17&lt;=0,'ARR target'!F21=""),"",'ARR target'!F21-$B34)</f>
        <v/>
      </c>
      <c r="H34" s="30">
        <f>IF(OR(H17&lt;=0,'ARR target'!G21=""),"",'ARR target'!G21-$B34)</f>
        <v/>
      </c>
      <c r="I34" s="30">
        <f>IF(OR(I17&lt;=0,'ARR target'!H21=""),"",'ARR target'!H21-$B34)</f>
        <v/>
      </c>
      <c r="J34" s="30">
        <f>IF(OR(J17&lt;=0,'ARR target'!I21=""),"",'ARR target'!I21-$B34)</f>
        <v/>
      </c>
      <c r="K34" s="12">
        <f>IF(C34="",0,IF(C34&lt;Assumptions!$B$5,C17,0))</f>
        <v/>
      </c>
    </row>
    <row r="35">
      <c r="A35" s="7" t="inlineStr">
        <is>
          <t>Q1 hires whose requisition must open before year 1 starts</t>
        </is>
      </c>
      <c r="K35" s="7">
        <f>SUM(K23:K34)</f>
        <v/>
      </c>
    </row>
    <row r="37">
      <c r="A37" s="2" t="inlineStr">
        <is>
          <t>Open by = quarter start - time to fill. People are assumed to start on the first day of the quarter. Teams with no hires in a quarter show no date.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4" customWidth="1" min="11" max="11"/>
    <col width="14" customWidth="1" min="12" max="12"/>
  </cols>
  <sheetData>
    <row r="1">
      <c r="A1" s="1" t="inlineStr">
        <is>
          <t>Cost: fully loaded people cost by team, department and quarter</t>
        </is>
      </c>
    </row>
    <row r="2">
      <c r="A2" s="2" t="inlineStr">
        <is>
          <t>Blank template: same formulas, no company numbers. Yellow cells are inputs. Everything else is a formula.</t>
        </is>
      </c>
    </row>
    <row r="5">
      <c r="A5" s="5" t="inlineStr">
        <is>
          <t>Fully loaded cost</t>
        </is>
      </c>
      <c r="B5" s="5" t="inlineStr">
        <is>
          <t>Dept</t>
        </is>
      </c>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t="inlineStr">
        <is>
          <t>Account executives</t>
        </is>
      </c>
      <c r="B6" t="inlineStr">
        <is>
          <t>S&amp;M</t>
        </is>
      </c>
      <c r="C6" s="6">
        <f>Teams!C12</f>
        <v/>
      </c>
      <c r="D6" s="6">
        <f>Teams!D12</f>
        <v/>
      </c>
      <c r="E6" s="6">
        <f>Teams!E12</f>
        <v/>
      </c>
      <c r="F6" s="6">
        <f>Teams!F12</f>
        <v/>
      </c>
      <c r="G6" s="6">
        <f>Teams!G12</f>
        <v/>
      </c>
      <c r="H6" s="6">
        <f>Teams!H12</f>
        <v/>
      </c>
      <c r="I6" s="6">
        <f>Teams!I12</f>
        <v/>
      </c>
      <c r="J6" s="6">
        <f>Teams!J12</f>
        <v/>
      </c>
      <c r="K6" s="6">
        <f>SUM(C6:F6)</f>
        <v/>
      </c>
      <c r="L6" s="6">
        <f>SUM(G6:J6)</f>
        <v/>
      </c>
    </row>
    <row r="7">
      <c r="A7">
        <f>Teams!A14</f>
        <v/>
      </c>
      <c r="B7">
        <f>IF(Assumptions!B50="","",Assumptions!B50)</f>
        <v/>
      </c>
      <c r="C7" s="6">
        <f>Teams!C24</f>
        <v/>
      </c>
      <c r="D7" s="6">
        <f>Teams!D24</f>
        <v/>
      </c>
      <c r="E7" s="6">
        <f>Teams!E24</f>
        <v/>
      </c>
      <c r="F7" s="6">
        <f>Teams!F24</f>
        <v/>
      </c>
      <c r="G7" s="6">
        <f>Teams!G24</f>
        <v/>
      </c>
      <c r="H7" s="6">
        <f>Teams!H24</f>
        <v/>
      </c>
      <c r="I7" s="6">
        <f>Teams!I24</f>
        <v/>
      </c>
      <c r="J7" s="6">
        <f>Teams!J24</f>
        <v/>
      </c>
      <c r="K7" s="6">
        <f>SUM(C7:F7)</f>
        <v/>
      </c>
      <c r="L7" s="6">
        <f>SUM(G7:J7)</f>
        <v/>
      </c>
    </row>
    <row r="8">
      <c r="A8">
        <f>Teams!A26</f>
        <v/>
      </c>
      <c r="B8">
        <f>IF(Assumptions!B51="","",Assumptions!B51)</f>
        <v/>
      </c>
      <c r="C8" s="6">
        <f>Teams!C36</f>
        <v/>
      </c>
      <c r="D8" s="6">
        <f>Teams!D36</f>
        <v/>
      </c>
      <c r="E8" s="6">
        <f>Teams!E36</f>
        <v/>
      </c>
      <c r="F8" s="6">
        <f>Teams!F36</f>
        <v/>
      </c>
      <c r="G8" s="6">
        <f>Teams!G36</f>
        <v/>
      </c>
      <c r="H8" s="6">
        <f>Teams!H36</f>
        <v/>
      </c>
      <c r="I8" s="6">
        <f>Teams!I36</f>
        <v/>
      </c>
      <c r="J8" s="6">
        <f>Teams!J36</f>
        <v/>
      </c>
      <c r="K8" s="6">
        <f>SUM(C8:F8)</f>
        <v/>
      </c>
      <c r="L8" s="6">
        <f>SUM(G8:J8)</f>
        <v/>
      </c>
    </row>
    <row r="9">
      <c r="A9">
        <f>Teams!A38</f>
        <v/>
      </c>
      <c r="B9">
        <f>IF(Assumptions!B52="","",Assumptions!B52)</f>
        <v/>
      </c>
      <c r="C9" s="6">
        <f>Teams!C48</f>
        <v/>
      </c>
      <c r="D9" s="6">
        <f>Teams!D48</f>
        <v/>
      </c>
      <c r="E9" s="6">
        <f>Teams!E48</f>
        <v/>
      </c>
      <c r="F9" s="6">
        <f>Teams!F48</f>
        <v/>
      </c>
      <c r="G9" s="6">
        <f>Teams!G48</f>
        <v/>
      </c>
      <c r="H9" s="6">
        <f>Teams!H48</f>
        <v/>
      </c>
      <c r="I9" s="6">
        <f>Teams!I48</f>
        <v/>
      </c>
      <c r="J9" s="6">
        <f>Teams!J48</f>
        <v/>
      </c>
      <c r="K9" s="6">
        <f>SUM(C9:F9)</f>
        <v/>
      </c>
      <c r="L9" s="6">
        <f>SUM(G9:J9)</f>
        <v/>
      </c>
    </row>
    <row r="10">
      <c r="A10">
        <f>Teams!A50</f>
        <v/>
      </c>
      <c r="B10">
        <f>IF(Assumptions!B53="","",Assumptions!B53)</f>
        <v/>
      </c>
      <c r="C10" s="6">
        <f>Teams!C60</f>
        <v/>
      </c>
      <c r="D10" s="6">
        <f>Teams!D60</f>
        <v/>
      </c>
      <c r="E10" s="6">
        <f>Teams!E60</f>
        <v/>
      </c>
      <c r="F10" s="6">
        <f>Teams!F60</f>
        <v/>
      </c>
      <c r="G10" s="6">
        <f>Teams!G60</f>
        <v/>
      </c>
      <c r="H10" s="6">
        <f>Teams!H60</f>
        <v/>
      </c>
      <c r="I10" s="6">
        <f>Teams!I60</f>
        <v/>
      </c>
      <c r="J10" s="6">
        <f>Teams!J60</f>
        <v/>
      </c>
      <c r="K10" s="6">
        <f>SUM(C10:F10)</f>
        <v/>
      </c>
      <c r="L10" s="6">
        <f>SUM(G10:J10)</f>
        <v/>
      </c>
    </row>
    <row r="11">
      <c r="A11">
        <f>Teams!A62</f>
        <v/>
      </c>
      <c r="B11">
        <f>IF(Assumptions!B54="","",Assumptions!B54)</f>
        <v/>
      </c>
      <c r="C11" s="6">
        <f>Teams!C72</f>
        <v/>
      </c>
      <c r="D11" s="6">
        <f>Teams!D72</f>
        <v/>
      </c>
      <c r="E11" s="6">
        <f>Teams!E72</f>
        <v/>
      </c>
      <c r="F11" s="6">
        <f>Teams!F72</f>
        <v/>
      </c>
      <c r="G11" s="6">
        <f>Teams!G72</f>
        <v/>
      </c>
      <c r="H11" s="6">
        <f>Teams!H72</f>
        <v/>
      </c>
      <c r="I11" s="6">
        <f>Teams!I72</f>
        <v/>
      </c>
      <c r="J11" s="6">
        <f>Teams!J72</f>
        <v/>
      </c>
      <c r="K11" s="6">
        <f>SUM(C11:F11)</f>
        <v/>
      </c>
      <c r="L11" s="6">
        <f>SUM(G11:J11)</f>
        <v/>
      </c>
    </row>
    <row r="12">
      <c r="A12">
        <f>Teams!A74</f>
        <v/>
      </c>
      <c r="B12">
        <f>IF(Assumptions!B55="","",Assumptions!B55)</f>
        <v/>
      </c>
      <c r="C12" s="6">
        <f>Teams!C84</f>
        <v/>
      </c>
      <c r="D12" s="6">
        <f>Teams!D84</f>
        <v/>
      </c>
      <c r="E12" s="6">
        <f>Teams!E84</f>
        <v/>
      </c>
      <c r="F12" s="6">
        <f>Teams!F84</f>
        <v/>
      </c>
      <c r="G12" s="6">
        <f>Teams!G84</f>
        <v/>
      </c>
      <c r="H12" s="6">
        <f>Teams!H84</f>
        <v/>
      </c>
      <c r="I12" s="6">
        <f>Teams!I84</f>
        <v/>
      </c>
      <c r="J12" s="6">
        <f>Teams!J84</f>
        <v/>
      </c>
      <c r="K12" s="6">
        <f>SUM(C12:F12)</f>
        <v/>
      </c>
      <c r="L12" s="6">
        <f>SUM(G12:J12)</f>
        <v/>
      </c>
    </row>
    <row r="13">
      <c r="A13">
        <f>Teams!A86</f>
        <v/>
      </c>
      <c r="B13">
        <f>IF(Assumptions!B56="","",Assumptions!B56)</f>
        <v/>
      </c>
      <c r="C13" s="6">
        <f>Teams!C96</f>
        <v/>
      </c>
      <c r="D13" s="6">
        <f>Teams!D96</f>
        <v/>
      </c>
      <c r="E13" s="6">
        <f>Teams!E96</f>
        <v/>
      </c>
      <c r="F13" s="6">
        <f>Teams!F96</f>
        <v/>
      </c>
      <c r="G13" s="6">
        <f>Teams!G96</f>
        <v/>
      </c>
      <c r="H13" s="6">
        <f>Teams!H96</f>
        <v/>
      </c>
      <c r="I13" s="6">
        <f>Teams!I96</f>
        <v/>
      </c>
      <c r="J13" s="6">
        <f>Teams!J96</f>
        <v/>
      </c>
      <c r="K13" s="6">
        <f>SUM(C13:F13)</f>
        <v/>
      </c>
      <c r="L13" s="6">
        <f>SUM(G13:J13)</f>
        <v/>
      </c>
    </row>
    <row r="14">
      <c r="A14">
        <f>Teams!A98</f>
        <v/>
      </c>
      <c r="B14">
        <f>IF(Assumptions!B57="","",Assumptions!B57)</f>
        <v/>
      </c>
      <c r="C14" s="6">
        <f>Teams!C108</f>
        <v/>
      </c>
      <c r="D14" s="6">
        <f>Teams!D108</f>
        <v/>
      </c>
      <c r="E14" s="6">
        <f>Teams!E108</f>
        <v/>
      </c>
      <c r="F14" s="6">
        <f>Teams!F108</f>
        <v/>
      </c>
      <c r="G14" s="6">
        <f>Teams!G108</f>
        <v/>
      </c>
      <c r="H14" s="6">
        <f>Teams!H108</f>
        <v/>
      </c>
      <c r="I14" s="6">
        <f>Teams!I108</f>
        <v/>
      </c>
      <c r="J14" s="6">
        <f>Teams!J108</f>
        <v/>
      </c>
      <c r="K14" s="6">
        <f>SUM(C14:F14)</f>
        <v/>
      </c>
      <c r="L14" s="6">
        <f>SUM(G14:J14)</f>
        <v/>
      </c>
    </row>
    <row r="15">
      <c r="A15">
        <f>Teams!A110</f>
        <v/>
      </c>
      <c r="B15">
        <f>IF(Assumptions!B58="","",Assumptions!B58)</f>
        <v/>
      </c>
      <c r="C15" s="6">
        <f>Teams!C120</f>
        <v/>
      </c>
      <c r="D15" s="6">
        <f>Teams!D120</f>
        <v/>
      </c>
      <c r="E15" s="6">
        <f>Teams!E120</f>
        <v/>
      </c>
      <c r="F15" s="6">
        <f>Teams!F120</f>
        <v/>
      </c>
      <c r="G15" s="6">
        <f>Teams!G120</f>
        <v/>
      </c>
      <c r="H15" s="6">
        <f>Teams!H120</f>
        <v/>
      </c>
      <c r="I15" s="6">
        <f>Teams!I120</f>
        <v/>
      </c>
      <c r="J15" s="6">
        <f>Teams!J120</f>
        <v/>
      </c>
      <c r="K15" s="6">
        <f>SUM(C15:F15)</f>
        <v/>
      </c>
      <c r="L15" s="6">
        <f>SUM(G15:J15)</f>
        <v/>
      </c>
    </row>
    <row r="16">
      <c r="A16">
        <f>Teams!A122</f>
        <v/>
      </c>
      <c r="B16">
        <f>IF(Assumptions!B59="","",Assumptions!B59)</f>
        <v/>
      </c>
      <c r="C16" s="6">
        <f>Teams!C132</f>
        <v/>
      </c>
      <c r="D16" s="6">
        <f>Teams!D132</f>
        <v/>
      </c>
      <c r="E16" s="6">
        <f>Teams!E132</f>
        <v/>
      </c>
      <c r="F16" s="6">
        <f>Teams!F132</f>
        <v/>
      </c>
      <c r="G16" s="6">
        <f>Teams!G132</f>
        <v/>
      </c>
      <c r="H16" s="6">
        <f>Teams!H132</f>
        <v/>
      </c>
      <c r="I16" s="6">
        <f>Teams!I132</f>
        <v/>
      </c>
      <c r="J16" s="6">
        <f>Teams!J132</f>
        <v/>
      </c>
      <c r="K16" s="6">
        <f>SUM(C16:F16)</f>
        <v/>
      </c>
      <c r="L16" s="6">
        <f>SUM(G16:J16)</f>
        <v/>
      </c>
    </row>
    <row r="17">
      <c r="A17">
        <f>Teams!A134</f>
        <v/>
      </c>
      <c r="B17">
        <f>IF(Assumptions!B60="","",Assumptions!B60)</f>
        <v/>
      </c>
      <c r="C17" s="6">
        <f>Teams!C144</f>
        <v/>
      </c>
      <c r="D17" s="6">
        <f>Teams!D144</f>
        <v/>
      </c>
      <c r="E17" s="6">
        <f>Teams!E144</f>
        <v/>
      </c>
      <c r="F17" s="6">
        <f>Teams!F144</f>
        <v/>
      </c>
      <c r="G17" s="6">
        <f>Teams!G144</f>
        <v/>
      </c>
      <c r="H17" s="6">
        <f>Teams!H144</f>
        <v/>
      </c>
      <c r="I17" s="6">
        <f>Teams!I144</f>
        <v/>
      </c>
      <c r="J17" s="6">
        <f>Teams!J144</f>
        <v/>
      </c>
      <c r="K17" s="6">
        <f>SUM(C17:F17)</f>
        <v/>
      </c>
      <c r="L17" s="6">
        <f>SUM(G17:J17)</f>
        <v/>
      </c>
    </row>
    <row r="19">
      <c r="A19" s="5" t="inlineStr">
        <is>
          <t>By department</t>
        </is>
      </c>
      <c r="B19" s="5" t="inlineStr"/>
      <c r="C19" s="5" t="inlineStr">
        <is>
          <t>Y1 Q1</t>
        </is>
      </c>
      <c r="D19" s="5" t="inlineStr">
        <is>
          <t>Y1 Q2</t>
        </is>
      </c>
      <c r="E19" s="5" t="inlineStr">
        <is>
          <t>Y1 Q3</t>
        </is>
      </c>
      <c r="F19" s="5" t="inlineStr">
        <is>
          <t>Y1 Q4</t>
        </is>
      </c>
      <c r="G19" s="5" t="inlineStr">
        <is>
          <t>Y2 Q1</t>
        </is>
      </c>
      <c r="H19" s="5" t="inlineStr">
        <is>
          <t>Y2 Q2</t>
        </is>
      </c>
      <c r="I19" s="5" t="inlineStr">
        <is>
          <t>Y2 Q3</t>
        </is>
      </c>
      <c r="J19" s="5" t="inlineStr">
        <is>
          <t>Y2 Q4</t>
        </is>
      </c>
      <c r="K19" s="5" t="inlineStr">
        <is>
          <t>Year 1</t>
        </is>
      </c>
      <c r="L19" s="5" t="inlineStr">
        <is>
          <t>Year 2</t>
        </is>
      </c>
    </row>
    <row r="20">
      <c r="A20" t="inlineStr">
        <is>
          <t>COGS</t>
        </is>
      </c>
      <c r="C20" s="6">
        <f>SUMIF($B$6:$B$17,$A20,C$6:C$17)</f>
        <v/>
      </c>
      <c r="D20" s="6">
        <f>SUMIF($B$6:$B$17,$A20,D$6:D$17)</f>
        <v/>
      </c>
      <c r="E20" s="6">
        <f>SUMIF($B$6:$B$17,$A20,E$6:E$17)</f>
        <v/>
      </c>
      <c r="F20" s="6">
        <f>SUMIF($B$6:$B$17,$A20,F$6:F$17)</f>
        <v/>
      </c>
      <c r="G20" s="6">
        <f>SUMIF($B$6:$B$17,$A20,G$6:G$17)</f>
        <v/>
      </c>
      <c r="H20" s="6">
        <f>SUMIF($B$6:$B$17,$A20,H$6:H$17)</f>
        <v/>
      </c>
      <c r="I20" s="6">
        <f>SUMIF($B$6:$B$17,$A20,I$6:I$17)</f>
        <v/>
      </c>
      <c r="J20" s="6">
        <f>SUMIF($B$6:$B$17,$A20,J$6:J$17)</f>
        <v/>
      </c>
      <c r="K20" s="6">
        <f>SUMIF($B$6:$B$17,$A20,K$6:K$17)</f>
        <v/>
      </c>
      <c r="L20" s="6">
        <f>SUMIF($B$6:$B$17,$A20,L$6:L$17)</f>
        <v/>
      </c>
    </row>
    <row r="21">
      <c r="A21" t="inlineStr">
        <is>
          <t>S&amp;M</t>
        </is>
      </c>
      <c r="C21" s="6">
        <f>SUMIF($B$6:$B$17,$A21,C$6:C$17)</f>
        <v/>
      </c>
      <c r="D21" s="6">
        <f>SUMIF($B$6:$B$17,$A21,D$6:D$17)</f>
        <v/>
      </c>
      <c r="E21" s="6">
        <f>SUMIF($B$6:$B$17,$A21,E$6:E$17)</f>
        <v/>
      </c>
      <c r="F21" s="6">
        <f>SUMIF($B$6:$B$17,$A21,F$6:F$17)</f>
        <v/>
      </c>
      <c r="G21" s="6">
        <f>SUMIF($B$6:$B$17,$A21,G$6:G$17)</f>
        <v/>
      </c>
      <c r="H21" s="6">
        <f>SUMIF($B$6:$B$17,$A21,H$6:H$17)</f>
        <v/>
      </c>
      <c r="I21" s="6">
        <f>SUMIF($B$6:$B$17,$A21,I$6:I$17)</f>
        <v/>
      </c>
      <c r="J21" s="6">
        <f>SUMIF($B$6:$B$17,$A21,J$6:J$17)</f>
        <v/>
      </c>
      <c r="K21" s="6">
        <f>SUMIF($B$6:$B$17,$A21,K$6:K$17)</f>
        <v/>
      </c>
      <c r="L21" s="6">
        <f>SUMIF($B$6:$B$17,$A21,L$6:L$17)</f>
        <v/>
      </c>
    </row>
    <row r="22">
      <c r="A22" t="inlineStr">
        <is>
          <t>R&amp;D</t>
        </is>
      </c>
      <c r="C22" s="6">
        <f>SUMIF($B$6:$B$17,$A22,C$6:C$17)</f>
        <v/>
      </c>
      <c r="D22" s="6">
        <f>SUMIF($B$6:$B$17,$A22,D$6:D$17)</f>
        <v/>
      </c>
      <c r="E22" s="6">
        <f>SUMIF($B$6:$B$17,$A22,E$6:E$17)</f>
        <v/>
      </c>
      <c r="F22" s="6">
        <f>SUMIF($B$6:$B$17,$A22,F$6:F$17)</f>
        <v/>
      </c>
      <c r="G22" s="6">
        <f>SUMIF($B$6:$B$17,$A22,G$6:G$17)</f>
        <v/>
      </c>
      <c r="H22" s="6">
        <f>SUMIF($B$6:$B$17,$A22,H$6:H$17)</f>
        <v/>
      </c>
      <c r="I22" s="6">
        <f>SUMIF($B$6:$B$17,$A22,I$6:I$17)</f>
        <v/>
      </c>
      <c r="J22" s="6">
        <f>SUMIF($B$6:$B$17,$A22,J$6:J$17)</f>
        <v/>
      </c>
      <c r="K22" s="6">
        <f>SUMIF($B$6:$B$17,$A22,K$6:K$17)</f>
        <v/>
      </c>
      <c r="L22" s="6">
        <f>SUMIF($B$6:$B$17,$A22,L$6:L$17)</f>
        <v/>
      </c>
    </row>
    <row r="23">
      <c r="A23" t="inlineStr">
        <is>
          <t>G&amp;A</t>
        </is>
      </c>
      <c r="C23" s="6">
        <f>SUMIF($B$6:$B$17,$A23,C$6:C$17)</f>
        <v/>
      </c>
      <c r="D23" s="6">
        <f>SUMIF($B$6:$B$17,$A23,D$6:D$17)</f>
        <v/>
      </c>
      <c r="E23" s="6">
        <f>SUMIF($B$6:$B$17,$A23,E$6:E$17)</f>
        <v/>
      </c>
      <c r="F23" s="6">
        <f>SUMIF($B$6:$B$17,$A23,F$6:F$17)</f>
        <v/>
      </c>
      <c r="G23" s="6">
        <f>SUMIF($B$6:$B$17,$A23,G$6:G$17)</f>
        <v/>
      </c>
      <c r="H23" s="6">
        <f>SUMIF($B$6:$B$17,$A23,H$6:H$17)</f>
        <v/>
      </c>
      <c r="I23" s="6">
        <f>SUMIF($B$6:$B$17,$A23,I$6:I$17)</f>
        <v/>
      </c>
      <c r="J23" s="6">
        <f>SUMIF($B$6:$B$17,$A23,J$6:J$17)</f>
        <v/>
      </c>
      <c r="K23" s="6">
        <f>SUMIF($B$6:$B$17,$A23,K$6:K$17)</f>
        <v/>
      </c>
      <c r="L23" s="6">
        <f>SUMIF($B$6:$B$17,$A23,L$6:L$17)</f>
        <v/>
      </c>
    </row>
    <row r="24">
      <c r="A24" t="inlineStr">
        <is>
          <t>No department set</t>
        </is>
      </c>
      <c r="C24" s="6">
        <f>C25-SUM(C20:C23)</f>
        <v/>
      </c>
      <c r="D24" s="6">
        <f>D25-SUM(D20:D23)</f>
        <v/>
      </c>
      <c r="E24" s="6">
        <f>E25-SUM(E20:E23)</f>
        <v/>
      </c>
      <c r="F24" s="6">
        <f>F25-SUM(F20:F23)</f>
        <v/>
      </c>
      <c r="G24" s="6">
        <f>G25-SUM(G20:G23)</f>
        <v/>
      </c>
      <c r="H24" s="6">
        <f>H25-SUM(H20:H23)</f>
        <v/>
      </c>
      <c r="I24" s="6">
        <f>I25-SUM(I20:I23)</f>
        <v/>
      </c>
      <c r="J24" s="6">
        <f>J25-SUM(J20:J23)</f>
        <v/>
      </c>
      <c r="K24" s="6">
        <f>K25-SUM(K20:K23)</f>
        <v/>
      </c>
      <c r="L24" s="6">
        <f>L25-SUM(L20:L23)</f>
        <v/>
      </c>
    </row>
    <row r="25">
      <c r="A25" s="7" t="inlineStr">
        <is>
          <t>Total people cost</t>
        </is>
      </c>
      <c r="C25" s="29">
        <f>SUM(C6:C17)</f>
        <v/>
      </c>
      <c r="D25" s="29">
        <f>SUM(D6:D17)</f>
        <v/>
      </c>
      <c r="E25" s="29">
        <f>SUM(E6:E17)</f>
        <v/>
      </c>
      <c r="F25" s="29">
        <f>SUM(F6:F17)</f>
        <v/>
      </c>
      <c r="G25" s="29">
        <f>SUM(G6:G17)</f>
        <v/>
      </c>
      <c r="H25" s="29">
        <f>SUM(H6:H17)</f>
        <v/>
      </c>
      <c r="I25" s="29">
        <f>SUM(I6:I17)</f>
        <v/>
      </c>
      <c r="J25" s="29">
        <f>SUM(J6:J17)</f>
        <v/>
      </c>
      <c r="K25" s="29">
        <f>SUM(K6:K17)</f>
        <v/>
      </c>
      <c r="L25" s="29">
        <f>SUM(L6:L17)</f>
        <v/>
      </c>
    </row>
    <row r="27">
      <c r="A27" t="inlineStr">
        <is>
          <t>Subscription revenue (ARR target)</t>
        </is>
      </c>
      <c r="C27" s="6">
        <f>'ARR target'!B20</f>
        <v/>
      </c>
      <c r="D27" s="6">
        <f>'ARR target'!C20</f>
        <v/>
      </c>
      <c r="E27" s="6">
        <f>'ARR target'!D20</f>
        <v/>
      </c>
      <c r="F27" s="6">
        <f>'ARR target'!E20</f>
        <v/>
      </c>
      <c r="G27" s="6">
        <f>'ARR target'!F20</f>
        <v/>
      </c>
      <c r="H27" s="6">
        <f>'ARR target'!G20</f>
        <v/>
      </c>
      <c r="I27" s="6">
        <f>'ARR target'!H20</f>
        <v/>
      </c>
      <c r="J27" s="6">
        <f>'ARR target'!I20</f>
        <v/>
      </c>
      <c r="K27" s="6">
        <f>'ARR target'!J20</f>
        <v/>
      </c>
      <c r="L27" s="6">
        <f>'ARR target'!K20</f>
        <v/>
      </c>
    </row>
    <row r="28">
      <c r="A28" t="inlineStr">
        <is>
          <t>People cost as % of revenue</t>
        </is>
      </c>
      <c r="C28" s="9">
        <f>IFERROR(C25/C27,0)</f>
        <v/>
      </c>
      <c r="D28" s="9">
        <f>IFERROR(D25/D27,0)</f>
        <v/>
      </c>
      <c r="E28" s="9">
        <f>IFERROR(E25/E27,0)</f>
        <v/>
      </c>
      <c r="F28" s="9">
        <f>IFERROR(F25/F27,0)</f>
        <v/>
      </c>
      <c r="G28" s="9">
        <f>IFERROR(G25/G27,0)</f>
        <v/>
      </c>
      <c r="H28" s="9">
        <f>IFERROR(H25/H27,0)</f>
        <v/>
      </c>
      <c r="I28" s="9">
        <f>IFERROR(I25/I27,0)</f>
        <v/>
      </c>
      <c r="J28" s="9">
        <f>IFERROR(J25/J27,0)</f>
        <v/>
      </c>
      <c r="K28" s="9">
        <f>IFERROR(K25/K27,0)</f>
        <v/>
      </c>
      <c r="L28" s="9">
        <f>IFERROR(L25/L27,0)</f>
        <v/>
      </c>
    </row>
    <row r="29">
      <c r="A29" t="inlineStr">
        <is>
          <t>S&amp;M people cost as % of revenue</t>
        </is>
      </c>
      <c r="C29" s="9">
        <f>IFERROR(C21/C27,0)</f>
        <v/>
      </c>
      <c r="D29" s="9">
        <f>IFERROR(D21/D27,0)</f>
        <v/>
      </c>
      <c r="E29" s="9">
        <f>IFERROR(E21/E27,0)</f>
        <v/>
      </c>
      <c r="F29" s="9">
        <f>IFERROR(F21/F27,0)</f>
        <v/>
      </c>
      <c r="G29" s="9">
        <f>IFERROR(G21/G27,0)</f>
        <v/>
      </c>
      <c r="H29" s="9">
        <f>IFERROR(H21/H27,0)</f>
        <v/>
      </c>
      <c r="I29" s="9">
        <f>IFERROR(I21/I27,0)</f>
        <v/>
      </c>
      <c r="J29" s="9">
        <f>IFERROR(J21/J27,0)</f>
        <v/>
      </c>
      <c r="K29" s="9">
        <f>IFERROR(K21/K27,0)</f>
        <v/>
      </c>
      <c r="L29" s="9">
        <f>IFERROR(L21/L27,0)</f>
        <v/>
      </c>
    </row>
    <row r="31">
      <c r="A31" s="5" t="inlineStr">
        <is>
          <t>Heads during the quarter</t>
        </is>
      </c>
      <c r="B31" s="5" t="inlineStr"/>
      <c r="C31" s="5" t="inlineStr">
        <is>
          <t>Y1 Q1</t>
        </is>
      </c>
      <c r="D31" s="5" t="inlineStr">
        <is>
          <t>Y1 Q2</t>
        </is>
      </c>
      <c r="E31" s="5" t="inlineStr">
        <is>
          <t>Y1 Q3</t>
        </is>
      </c>
      <c r="F31" s="5" t="inlineStr">
        <is>
          <t>Y1 Q4</t>
        </is>
      </c>
      <c r="G31" s="5" t="inlineStr">
        <is>
          <t>Y2 Q1</t>
        </is>
      </c>
      <c r="H31" s="5" t="inlineStr">
        <is>
          <t>Y2 Q2</t>
        </is>
      </c>
      <c r="I31" s="5" t="inlineStr">
        <is>
          <t>Y2 Q3</t>
        </is>
      </c>
      <c r="J31" s="5" t="inlineStr">
        <is>
          <t>Y2 Q4</t>
        </is>
      </c>
      <c r="K31" s="5" t="inlineStr">
        <is>
          <t>End of year 1</t>
        </is>
      </c>
      <c r="L31" s="5" t="inlineStr">
        <is>
          <t>End of year 2</t>
        </is>
      </c>
    </row>
    <row r="32">
      <c r="A32" t="inlineStr">
        <is>
          <t>COGS</t>
        </is>
      </c>
      <c r="C32" s="10">
        <f>IF($B$6="COGS",Teams!C7,0)+IF($B$7="COGS",Teams!C22,0)+IF($B$8="COGS",Teams!C34,0)+IF($B$9="COGS",Teams!C46,0)+IF($B$10="COGS",Teams!C58,0)+IF($B$11="COGS",Teams!C70,0)+IF($B$12="COGS",Teams!C82,0)+IF($B$13="COGS",Teams!C94,0)+IF($B$14="COGS",Teams!C106,0)+IF($B$15="COGS",Teams!C118,0)+IF($B$16="COGS",Teams!C130,0)+IF($B$17="COGS",Teams!C142,0)</f>
        <v/>
      </c>
      <c r="D32" s="10">
        <f>IF($B$6="COGS",Teams!D7,0)+IF($B$7="COGS",Teams!D22,0)+IF($B$8="COGS",Teams!D34,0)+IF($B$9="COGS",Teams!D46,0)+IF($B$10="COGS",Teams!D58,0)+IF($B$11="COGS",Teams!D70,0)+IF($B$12="COGS",Teams!D82,0)+IF($B$13="COGS",Teams!D94,0)+IF($B$14="COGS",Teams!D106,0)+IF($B$15="COGS",Teams!D118,0)+IF($B$16="COGS",Teams!D130,0)+IF($B$17="COGS",Teams!D142,0)</f>
        <v/>
      </c>
      <c r="E32" s="10">
        <f>IF($B$6="COGS",Teams!E7,0)+IF($B$7="COGS",Teams!E22,0)+IF($B$8="COGS",Teams!E34,0)+IF($B$9="COGS",Teams!E46,0)+IF($B$10="COGS",Teams!E58,0)+IF($B$11="COGS",Teams!E70,0)+IF($B$12="COGS",Teams!E82,0)+IF($B$13="COGS",Teams!E94,0)+IF($B$14="COGS",Teams!E106,0)+IF($B$15="COGS",Teams!E118,0)+IF($B$16="COGS",Teams!E130,0)+IF($B$17="COGS",Teams!E142,0)</f>
        <v/>
      </c>
      <c r="F32" s="10">
        <f>IF($B$6="COGS",Teams!F7,0)+IF($B$7="COGS",Teams!F22,0)+IF($B$8="COGS",Teams!F34,0)+IF($B$9="COGS",Teams!F46,0)+IF($B$10="COGS",Teams!F58,0)+IF($B$11="COGS",Teams!F70,0)+IF($B$12="COGS",Teams!F82,0)+IF($B$13="COGS",Teams!F94,0)+IF($B$14="COGS",Teams!F106,0)+IF($B$15="COGS",Teams!F118,0)+IF($B$16="COGS",Teams!F130,0)+IF($B$17="COGS",Teams!F142,0)</f>
        <v/>
      </c>
      <c r="G32" s="10">
        <f>IF($B$6="COGS",Teams!G7,0)+IF($B$7="COGS",Teams!G22,0)+IF($B$8="COGS",Teams!G34,0)+IF($B$9="COGS",Teams!G46,0)+IF($B$10="COGS",Teams!G58,0)+IF($B$11="COGS",Teams!G70,0)+IF($B$12="COGS",Teams!G82,0)+IF($B$13="COGS",Teams!G94,0)+IF($B$14="COGS",Teams!G106,0)+IF($B$15="COGS",Teams!G118,0)+IF($B$16="COGS",Teams!G130,0)+IF($B$17="COGS",Teams!G142,0)</f>
        <v/>
      </c>
      <c r="H32" s="10">
        <f>IF($B$6="COGS",Teams!H7,0)+IF($B$7="COGS",Teams!H22,0)+IF($B$8="COGS",Teams!H34,0)+IF($B$9="COGS",Teams!H46,0)+IF($B$10="COGS",Teams!H58,0)+IF($B$11="COGS",Teams!H70,0)+IF($B$12="COGS",Teams!H82,0)+IF($B$13="COGS",Teams!H94,0)+IF($B$14="COGS",Teams!H106,0)+IF($B$15="COGS",Teams!H118,0)+IF($B$16="COGS",Teams!H130,0)+IF($B$17="COGS",Teams!H142,0)</f>
        <v/>
      </c>
      <c r="I32" s="10">
        <f>IF($B$6="COGS",Teams!I7,0)+IF($B$7="COGS",Teams!I22,0)+IF($B$8="COGS",Teams!I34,0)+IF($B$9="COGS",Teams!I46,0)+IF($B$10="COGS",Teams!I58,0)+IF($B$11="COGS",Teams!I70,0)+IF($B$12="COGS",Teams!I82,0)+IF($B$13="COGS",Teams!I94,0)+IF($B$14="COGS",Teams!I106,0)+IF($B$15="COGS",Teams!I118,0)+IF($B$16="COGS",Teams!I130,0)+IF($B$17="COGS",Teams!I142,0)</f>
        <v/>
      </c>
      <c r="J32" s="10">
        <f>IF($B$6="COGS",Teams!J7,0)+IF($B$7="COGS",Teams!J22,0)+IF($B$8="COGS",Teams!J34,0)+IF($B$9="COGS",Teams!J46,0)+IF($B$10="COGS",Teams!J58,0)+IF($B$11="COGS",Teams!J70,0)+IF($B$12="COGS",Teams!J82,0)+IF($B$13="COGS",Teams!J94,0)+IF($B$14="COGS",Teams!J106,0)+IF($B$15="COGS",Teams!J118,0)+IF($B$16="COGS",Teams!J130,0)+IF($B$17="COGS",Teams!J142,0)</f>
        <v/>
      </c>
      <c r="K32" s="10">
        <f>F32</f>
        <v/>
      </c>
      <c r="L32" s="10">
        <f>J32</f>
        <v/>
      </c>
    </row>
    <row r="33">
      <c r="A33" t="inlineStr">
        <is>
          <t>S&amp;M</t>
        </is>
      </c>
      <c r="C33" s="10">
        <f>IF($B$6="S&amp;M",Teams!C7,0)+IF($B$7="S&amp;M",Teams!C22,0)+IF($B$8="S&amp;M",Teams!C34,0)+IF($B$9="S&amp;M",Teams!C46,0)+IF($B$10="S&amp;M",Teams!C58,0)+IF($B$11="S&amp;M",Teams!C70,0)+IF($B$12="S&amp;M",Teams!C82,0)+IF($B$13="S&amp;M",Teams!C94,0)+IF($B$14="S&amp;M",Teams!C106,0)+IF($B$15="S&amp;M",Teams!C118,0)+IF($B$16="S&amp;M",Teams!C130,0)+IF($B$17="S&amp;M",Teams!C142,0)</f>
        <v/>
      </c>
      <c r="D33" s="10">
        <f>IF($B$6="S&amp;M",Teams!D7,0)+IF($B$7="S&amp;M",Teams!D22,0)+IF($B$8="S&amp;M",Teams!D34,0)+IF($B$9="S&amp;M",Teams!D46,0)+IF($B$10="S&amp;M",Teams!D58,0)+IF($B$11="S&amp;M",Teams!D70,0)+IF($B$12="S&amp;M",Teams!D82,0)+IF($B$13="S&amp;M",Teams!D94,0)+IF($B$14="S&amp;M",Teams!D106,0)+IF($B$15="S&amp;M",Teams!D118,0)+IF($B$16="S&amp;M",Teams!D130,0)+IF($B$17="S&amp;M",Teams!D142,0)</f>
        <v/>
      </c>
      <c r="E33" s="10">
        <f>IF($B$6="S&amp;M",Teams!E7,0)+IF($B$7="S&amp;M",Teams!E22,0)+IF($B$8="S&amp;M",Teams!E34,0)+IF($B$9="S&amp;M",Teams!E46,0)+IF($B$10="S&amp;M",Teams!E58,0)+IF($B$11="S&amp;M",Teams!E70,0)+IF($B$12="S&amp;M",Teams!E82,0)+IF($B$13="S&amp;M",Teams!E94,0)+IF($B$14="S&amp;M",Teams!E106,0)+IF($B$15="S&amp;M",Teams!E118,0)+IF($B$16="S&amp;M",Teams!E130,0)+IF($B$17="S&amp;M",Teams!E142,0)</f>
        <v/>
      </c>
      <c r="F33" s="10">
        <f>IF($B$6="S&amp;M",Teams!F7,0)+IF($B$7="S&amp;M",Teams!F22,0)+IF($B$8="S&amp;M",Teams!F34,0)+IF($B$9="S&amp;M",Teams!F46,0)+IF($B$10="S&amp;M",Teams!F58,0)+IF($B$11="S&amp;M",Teams!F70,0)+IF($B$12="S&amp;M",Teams!F82,0)+IF($B$13="S&amp;M",Teams!F94,0)+IF($B$14="S&amp;M",Teams!F106,0)+IF($B$15="S&amp;M",Teams!F118,0)+IF($B$16="S&amp;M",Teams!F130,0)+IF($B$17="S&amp;M",Teams!F142,0)</f>
        <v/>
      </c>
      <c r="G33" s="10">
        <f>IF($B$6="S&amp;M",Teams!G7,0)+IF($B$7="S&amp;M",Teams!G22,0)+IF($B$8="S&amp;M",Teams!G34,0)+IF($B$9="S&amp;M",Teams!G46,0)+IF($B$10="S&amp;M",Teams!G58,0)+IF($B$11="S&amp;M",Teams!G70,0)+IF($B$12="S&amp;M",Teams!G82,0)+IF($B$13="S&amp;M",Teams!G94,0)+IF($B$14="S&amp;M",Teams!G106,0)+IF($B$15="S&amp;M",Teams!G118,0)+IF($B$16="S&amp;M",Teams!G130,0)+IF($B$17="S&amp;M",Teams!G142,0)</f>
        <v/>
      </c>
      <c r="H33" s="10">
        <f>IF($B$6="S&amp;M",Teams!H7,0)+IF($B$7="S&amp;M",Teams!H22,0)+IF($B$8="S&amp;M",Teams!H34,0)+IF($B$9="S&amp;M",Teams!H46,0)+IF($B$10="S&amp;M",Teams!H58,0)+IF($B$11="S&amp;M",Teams!H70,0)+IF($B$12="S&amp;M",Teams!H82,0)+IF($B$13="S&amp;M",Teams!H94,0)+IF($B$14="S&amp;M",Teams!H106,0)+IF($B$15="S&amp;M",Teams!H118,0)+IF($B$16="S&amp;M",Teams!H130,0)+IF($B$17="S&amp;M",Teams!H142,0)</f>
        <v/>
      </c>
      <c r="I33" s="10">
        <f>IF($B$6="S&amp;M",Teams!I7,0)+IF($B$7="S&amp;M",Teams!I22,0)+IF($B$8="S&amp;M",Teams!I34,0)+IF($B$9="S&amp;M",Teams!I46,0)+IF($B$10="S&amp;M",Teams!I58,0)+IF($B$11="S&amp;M",Teams!I70,0)+IF($B$12="S&amp;M",Teams!I82,0)+IF($B$13="S&amp;M",Teams!I94,0)+IF($B$14="S&amp;M",Teams!I106,0)+IF($B$15="S&amp;M",Teams!I118,0)+IF($B$16="S&amp;M",Teams!I130,0)+IF($B$17="S&amp;M",Teams!I142,0)</f>
        <v/>
      </c>
      <c r="J33" s="10">
        <f>IF($B$6="S&amp;M",Teams!J7,0)+IF($B$7="S&amp;M",Teams!J22,0)+IF($B$8="S&amp;M",Teams!J34,0)+IF($B$9="S&amp;M",Teams!J46,0)+IF($B$10="S&amp;M",Teams!J58,0)+IF($B$11="S&amp;M",Teams!J70,0)+IF($B$12="S&amp;M",Teams!J82,0)+IF($B$13="S&amp;M",Teams!J94,0)+IF($B$14="S&amp;M",Teams!J106,0)+IF($B$15="S&amp;M",Teams!J118,0)+IF($B$16="S&amp;M",Teams!J130,0)+IF($B$17="S&amp;M",Teams!J142,0)</f>
        <v/>
      </c>
      <c r="K33" s="10">
        <f>F33</f>
        <v/>
      </c>
      <c r="L33" s="10">
        <f>J33</f>
        <v/>
      </c>
    </row>
    <row r="34">
      <c r="A34" t="inlineStr">
        <is>
          <t>R&amp;D</t>
        </is>
      </c>
      <c r="C34" s="10">
        <f>IF($B$6="R&amp;D",Teams!C7,0)+IF($B$7="R&amp;D",Teams!C22,0)+IF($B$8="R&amp;D",Teams!C34,0)+IF($B$9="R&amp;D",Teams!C46,0)+IF($B$10="R&amp;D",Teams!C58,0)+IF($B$11="R&amp;D",Teams!C70,0)+IF($B$12="R&amp;D",Teams!C82,0)+IF($B$13="R&amp;D",Teams!C94,0)+IF($B$14="R&amp;D",Teams!C106,0)+IF($B$15="R&amp;D",Teams!C118,0)+IF($B$16="R&amp;D",Teams!C130,0)+IF($B$17="R&amp;D",Teams!C142,0)</f>
        <v/>
      </c>
      <c r="D34" s="10">
        <f>IF($B$6="R&amp;D",Teams!D7,0)+IF($B$7="R&amp;D",Teams!D22,0)+IF($B$8="R&amp;D",Teams!D34,0)+IF($B$9="R&amp;D",Teams!D46,0)+IF($B$10="R&amp;D",Teams!D58,0)+IF($B$11="R&amp;D",Teams!D70,0)+IF($B$12="R&amp;D",Teams!D82,0)+IF($B$13="R&amp;D",Teams!D94,0)+IF($B$14="R&amp;D",Teams!D106,0)+IF($B$15="R&amp;D",Teams!D118,0)+IF($B$16="R&amp;D",Teams!D130,0)+IF($B$17="R&amp;D",Teams!D142,0)</f>
        <v/>
      </c>
      <c r="E34" s="10">
        <f>IF($B$6="R&amp;D",Teams!E7,0)+IF($B$7="R&amp;D",Teams!E22,0)+IF($B$8="R&amp;D",Teams!E34,0)+IF($B$9="R&amp;D",Teams!E46,0)+IF($B$10="R&amp;D",Teams!E58,0)+IF($B$11="R&amp;D",Teams!E70,0)+IF($B$12="R&amp;D",Teams!E82,0)+IF($B$13="R&amp;D",Teams!E94,0)+IF($B$14="R&amp;D",Teams!E106,0)+IF($B$15="R&amp;D",Teams!E118,0)+IF($B$16="R&amp;D",Teams!E130,0)+IF($B$17="R&amp;D",Teams!E142,0)</f>
        <v/>
      </c>
      <c r="F34" s="10">
        <f>IF($B$6="R&amp;D",Teams!F7,0)+IF($B$7="R&amp;D",Teams!F22,0)+IF($B$8="R&amp;D",Teams!F34,0)+IF($B$9="R&amp;D",Teams!F46,0)+IF($B$10="R&amp;D",Teams!F58,0)+IF($B$11="R&amp;D",Teams!F70,0)+IF($B$12="R&amp;D",Teams!F82,0)+IF($B$13="R&amp;D",Teams!F94,0)+IF($B$14="R&amp;D",Teams!F106,0)+IF($B$15="R&amp;D",Teams!F118,0)+IF($B$16="R&amp;D",Teams!F130,0)+IF($B$17="R&amp;D",Teams!F142,0)</f>
        <v/>
      </c>
      <c r="G34" s="10">
        <f>IF($B$6="R&amp;D",Teams!G7,0)+IF($B$7="R&amp;D",Teams!G22,0)+IF($B$8="R&amp;D",Teams!G34,0)+IF($B$9="R&amp;D",Teams!G46,0)+IF($B$10="R&amp;D",Teams!G58,0)+IF($B$11="R&amp;D",Teams!G70,0)+IF($B$12="R&amp;D",Teams!G82,0)+IF($B$13="R&amp;D",Teams!G94,0)+IF($B$14="R&amp;D",Teams!G106,0)+IF($B$15="R&amp;D",Teams!G118,0)+IF($B$16="R&amp;D",Teams!G130,0)+IF($B$17="R&amp;D",Teams!G142,0)</f>
        <v/>
      </c>
      <c r="H34" s="10">
        <f>IF($B$6="R&amp;D",Teams!H7,0)+IF($B$7="R&amp;D",Teams!H22,0)+IF($B$8="R&amp;D",Teams!H34,0)+IF($B$9="R&amp;D",Teams!H46,0)+IF($B$10="R&amp;D",Teams!H58,0)+IF($B$11="R&amp;D",Teams!H70,0)+IF($B$12="R&amp;D",Teams!H82,0)+IF($B$13="R&amp;D",Teams!H94,0)+IF($B$14="R&amp;D",Teams!H106,0)+IF($B$15="R&amp;D",Teams!H118,0)+IF($B$16="R&amp;D",Teams!H130,0)+IF($B$17="R&amp;D",Teams!H142,0)</f>
        <v/>
      </c>
      <c r="I34" s="10">
        <f>IF($B$6="R&amp;D",Teams!I7,0)+IF($B$7="R&amp;D",Teams!I22,0)+IF($B$8="R&amp;D",Teams!I34,0)+IF($B$9="R&amp;D",Teams!I46,0)+IF($B$10="R&amp;D",Teams!I58,0)+IF($B$11="R&amp;D",Teams!I70,0)+IF($B$12="R&amp;D",Teams!I82,0)+IF($B$13="R&amp;D",Teams!I94,0)+IF($B$14="R&amp;D",Teams!I106,0)+IF($B$15="R&amp;D",Teams!I118,0)+IF($B$16="R&amp;D",Teams!I130,0)+IF($B$17="R&amp;D",Teams!I142,0)</f>
        <v/>
      </c>
      <c r="J34" s="10">
        <f>IF($B$6="R&amp;D",Teams!J7,0)+IF($B$7="R&amp;D",Teams!J22,0)+IF($B$8="R&amp;D",Teams!J34,0)+IF($B$9="R&amp;D",Teams!J46,0)+IF($B$10="R&amp;D",Teams!J58,0)+IF($B$11="R&amp;D",Teams!J70,0)+IF($B$12="R&amp;D",Teams!J82,0)+IF($B$13="R&amp;D",Teams!J94,0)+IF($B$14="R&amp;D",Teams!J106,0)+IF($B$15="R&amp;D",Teams!J118,0)+IF($B$16="R&amp;D",Teams!J130,0)+IF($B$17="R&amp;D",Teams!J142,0)</f>
        <v/>
      </c>
      <c r="K34" s="10">
        <f>F34</f>
        <v/>
      </c>
      <c r="L34" s="10">
        <f>J34</f>
        <v/>
      </c>
    </row>
    <row r="35">
      <c r="A35" t="inlineStr">
        <is>
          <t>G&amp;A</t>
        </is>
      </c>
      <c r="C35" s="10">
        <f>IF($B$6="G&amp;A",Teams!C7,0)+IF($B$7="G&amp;A",Teams!C22,0)+IF($B$8="G&amp;A",Teams!C34,0)+IF($B$9="G&amp;A",Teams!C46,0)+IF($B$10="G&amp;A",Teams!C58,0)+IF($B$11="G&amp;A",Teams!C70,0)+IF($B$12="G&amp;A",Teams!C82,0)+IF($B$13="G&amp;A",Teams!C94,0)+IF($B$14="G&amp;A",Teams!C106,0)+IF($B$15="G&amp;A",Teams!C118,0)+IF($B$16="G&amp;A",Teams!C130,0)+IF($B$17="G&amp;A",Teams!C142,0)</f>
        <v/>
      </c>
      <c r="D35" s="10">
        <f>IF($B$6="G&amp;A",Teams!D7,0)+IF($B$7="G&amp;A",Teams!D22,0)+IF($B$8="G&amp;A",Teams!D34,0)+IF($B$9="G&amp;A",Teams!D46,0)+IF($B$10="G&amp;A",Teams!D58,0)+IF($B$11="G&amp;A",Teams!D70,0)+IF($B$12="G&amp;A",Teams!D82,0)+IF($B$13="G&amp;A",Teams!D94,0)+IF($B$14="G&amp;A",Teams!D106,0)+IF($B$15="G&amp;A",Teams!D118,0)+IF($B$16="G&amp;A",Teams!D130,0)+IF($B$17="G&amp;A",Teams!D142,0)</f>
        <v/>
      </c>
      <c r="E35" s="10">
        <f>IF($B$6="G&amp;A",Teams!E7,0)+IF($B$7="G&amp;A",Teams!E22,0)+IF($B$8="G&amp;A",Teams!E34,0)+IF($B$9="G&amp;A",Teams!E46,0)+IF($B$10="G&amp;A",Teams!E58,0)+IF($B$11="G&amp;A",Teams!E70,0)+IF($B$12="G&amp;A",Teams!E82,0)+IF($B$13="G&amp;A",Teams!E94,0)+IF($B$14="G&amp;A",Teams!E106,0)+IF($B$15="G&amp;A",Teams!E118,0)+IF($B$16="G&amp;A",Teams!E130,0)+IF($B$17="G&amp;A",Teams!E142,0)</f>
        <v/>
      </c>
      <c r="F35" s="10">
        <f>IF($B$6="G&amp;A",Teams!F7,0)+IF($B$7="G&amp;A",Teams!F22,0)+IF($B$8="G&amp;A",Teams!F34,0)+IF($B$9="G&amp;A",Teams!F46,0)+IF($B$10="G&amp;A",Teams!F58,0)+IF($B$11="G&amp;A",Teams!F70,0)+IF($B$12="G&amp;A",Teams!F82,0)+IF($B$13="G&amp;A",Teams!F94,0)+IF($B$14="G&amp;A",Teams!F106,0)+IF($B$15="G&amp;A",Teams!F118,0)+IF($B$16="G&amp;A",Teams!F130,0)+IF($B$17="G&amp;A",Teams!F142,0)</f>
        <v/>
      </c>
      <c r="G35" s="10">
        <f>IF($B$6="G&amp;A",Teams!G7,0)+IF($B$7="G&amp;A",Teams!G22,0)+IF($B$8="G&amp;A",Teams!G34,0)+IF($B$9="G&amp;A",Teams!G46,0)+IF($B$10="G&amp;A",Teams!G58,0)+IF($B$11="G&amp;A",Teams!G70,0)+IF($B$12="G&amp;A",Teams!G82,0)+IF($B$13="G&amp;A",Teams!G94,0)+IF($B$14="G&amp;A",Teams!G106,0)+IF($B$15="G&amp;A",Teams!G118,0)+IF($B$16="G&amp;A",Teams!G130,0)+IF($B$17="G&amp;A",Teams!G142,0)</f>
        <v/>
      </c>
      <c r="H35" s="10">
        <f>IF($B$6="G&amp;A",Teams!H7,0)+IF($B$7="G&amp;A",Teams!H22,0)+IF($B$8="G&amp;A",Teams!H34,0)+IF($B$9="G&amp;A",Teams!H46,0)+IF($B$10="G&amp;A",Teams!H58,0)+IF($B$11="G&amp;A",Teams!H70,0)+IF($B$12="G&amp;A",Teams!H82,0)+IF($B$13="G&amp;A",Teams!H94,0)+IF($B$14="G&amp;A",Teams!H106,0)+IF($B$15="G&amp;A",Teams!H118,0)+IF($B$16="G&amp;A",Teams!H130,0)+IF($B$17="G&amp;A",Teams!H142,0)</f>
        <v/>
      </c>
      <c r="I35" s="10">
        <f>IF($B$6="G&amp;A",Teams!I7,0)+IF($B$7="G&amp;A",Teams!I22,0)+IF($B$8="G&amp;A",Teams!I34,0)+IF($B$9="G&amp;A",Teams!I46,0)+IF($B$10="G&amp;A",Teams!I58,0)+IF($B$11="G&amp;A",Teams!I70,0)+IF($B$12="G&amp;A",Teams!I82,0)+IF($B$13="G&amp;A",Teams!I94,0)+IF($B$14="G&amp;A",Teams!I106,0)+IF($B$15="G&amp;A",Teams!I118,0)+IF($B$16="G&amp;A",Teams!I130,0)+IF($B$17="G&amp;A",Teams!I142,0)</f>
        <v/>
      </c>
      <c r="J35" s="10">
        <f>IF($B$6="G&amp;A",Teams!J7,0)+IF($B$7="G&amp;A",Teams!J22,0)+IF($B$8="G&amp;A",Teams!J34,0)+IF($B$9="G&amp;A",Teams!J46,0)+IF($B$10="G&amp;A",Teams!J58,0)+IF($B$11="G&amp;A",Teams!J70,0)+IF($B$12="G&amp;A",Teams!J82,0)+IF($B$13="G&amp;A",Teams!J94,0)+IF($B$14="G&amp;A",Teams!J106,0)+IF($B$15="G&amp;A",Teams!J118,0)+IF($B$16="G&amp;A",Teams!J130,0)+IF($B$17="G&amp;A",Teams!J142,0)</f>
        <v/>
      </c>
      <c r="K35" s="10">
        <f>F35</f>
        <v/>
      </c>
      <c r="L35" s="10">
        <f>J35</f>
        <v/>
      </c>
    </row>
    <row r="36">
      <c r="A36" s="7" t="inlineStr">
        <is>
          <t>Total heads</t>
        </is>
      </c>
      <c r="C36" s="11">
        <f>Teams!C7+Teams!C22+Teams!C34+Teams!C46+Teams!C58+Teams!C70+Teams!C82+Teams!C94+Teams!C106+Teams!C118+Teams!C130+Teams!C142</f>
        <v/>
      </c>
      <c r="D36" s="11">
        <f>Teams!D7+Teams!D22+Teams!D34+Teams!D46+Teams!D58+Teams!D70+Teams!D82+Teams!D94+Teams!D106+Teams!D118+Teams!D130+Teams!D142</f>
        <v/>
      </c>
      <c r="E36" s="11">
        <f>Teams!E7+Teams!E22+Teams!E34+Teams!E46+Teams!E58+Teams!E70+Teams!E82+Teams!E94+Teams!E106+Teams!E118+Teams!E130+Teams!E142</f>
        <v/>
      </c>
      <c r="F36" s="11">
        <f>Teams!F7+Teams!F22+Teams!F34+Teams!F46+Teams!F58+Teams!F70+Teams!F82+Teams!F94+Teams!F106+Teams!F118+Teams!F130+Teams!F142</f>
        <v/>
      </c>
      <c r="G36" s="11">
        <f>Teams!G7+Teams!G22+Teams!G34+Teams!G46+Teams!G58+Teams!G70+Teams!G82+Teams!G94+Teams!G106+Teams!G118+Teams!G130+Teams!G142</f>
        <v/>
      </c>
      <c r="H36" s="11">
        <f>Teams!H7+Teams!H22+Teams!H34+Teams!H46+Teams!H58+Teams!H70+Teams!H82+Teams!H94+Teams!H106+Teams!H118+Teams!H130+Teams!H142</f>
        <v/>
      </c>
      <c r="I36" s="11">
        <f>Teams!I7+Teams!I22+Teams!I34+Teams!I46+Teams!I58+Teams!I70+Teams!I82+Teams!I94+Teams!I106+Teams!I118+Teams!I130+Teams!I142</f>
        <v/>
      </c>
      <c r="J36" s="11">
        <f>Teams!J7+Teams!J22+Teams!J34+Teams!J46+Teams!J58+Teams!J70+Teams!J82+Teams!J94+Teams!J106+Teams!J118+Teams!J130+Teams!J142</f>
        <v/>
      </c>
      <c r="K36" s="10">
        <f>F36</f>
        <v/>
      </c>
      <c r="L36" s="10">
        <f>J36</f>
        <v/>
      </c>
    </row>
    <row r="38">
      <c r="A38" s="5" t="inlineStr">
        <is>
          <t>Fully loaded cost per head per year</t>
        </is>
      </c>
      <c r="B38" s="5" t="inlineStr"/>
      <c r="C38" s="5" t="inlineStr">
        <is>
          <t>Base</t>
        </is>
      </c>
      <c r="D38" s="5" t="inlineStr">
        <is>
          <t>Variable</t>
        </is>
      </c>
      <c r="E38" s="5" t="inlineStr">
        <is>
          <t>Payroll load</t>
        </is>
      </c>
      <c r="F38" s="5" t="inlineStr">
        <is>
          <t>Tools</t>
        </is>
      </c>
      <c r="G38" s="5" t="inlineStr">
        <is>
          <t>Year 1 total</t>
        </is>
      </c>
      <c r="H38" s="5" t="inlineStr">
        <is>
          <t>Year 2 total</t>
        </is>
      </c>
    </row>
    <row r="39">
      <c r="A39" t="inlineStr">
        <is>
          <t>Account executives</t>
        </is>
      </c>
      <c r="C39" s="6">
        <f>N(Assumptions!B43)</f>
        <v/>
      </c>
      <c r="D39" s="6">
        <f>N(Assumptions!B44)</f>
        <v/>
      </c>
      <c r="E39" s="6">
        <f>C39*N(Assumptions!$B$13)</f>
        <v/>
      </c>
      <c r="F39" s="6">
        <f>N(Assumptions!$B$14)</f>
        <v/>
      </c>
      <c r="G39" s="6">
        <f>IF(C39+D39=0,0,C39+D39+E39+F39)</f>
        <v/>
      </c>
      <c r="H39" s="6">
        <f>IF(C39+D39=0,0,(C39+D39)*(1+N(Assumptions!$B$15))+E39*(1+N(Assumptions!$B$15))+F39)</f>
        <v/>
      </c>
    </row>
    <row r="40">
      <c r="A40">
        <f>Teams!A14</f>
        <v/>
      </c>
      <c r="C40" s="6">
        <f>N(Assumptions!G50)</f>
        <v/>
      </c>
      <c r="D40" s="6">
        <f>N(Assumptions!H50)</f>
        <v/>
      </c>
      <c r="E40" s="6">
        <f>C40*N(Assumptions!$B$13)</f>
        <v/>
      </c>
      <c r="F40" s="6">
        <f>N(Assumptions!$B$14)</f>
        <v/>
      </c>
      <c r="G40" s="6">
        <f>IF(C40+D40=0,0,C40+D40+E40+F40)</f>
        <v/>
      </c>
      <c r="H40" s="6">
        <f>IF(C40+D40=0,0,(C40+D40)*(1+N(Assumptions!$B$15))+E40*(1+N(Assumptions!$B$15))+F40)</f>
        <v/>
      </c>
    </row>
    <row r="41">
      <c r="A41">
        <f>Teams!A26</f>
        <v/>
      </c>
      <c r="C41" s="6">
        <f>N(Assumptions!G51)</f>
        <v/>
      </c>
      <c r="D41" s="6">
        <f>N(Assumptions!H51)</f>
        <v/>
      </c>
      <c r="E41" s="6">
        <f>C41*N(Assumptions!$B$13)</f>
        <v/>
      </c>
      <c r="F41" s="6">
        <f>N(Assumptions!$B$14)</f>
        <v/>
      </c>
      <c r="G41" s="6">
        <f>IF(C41+D41=0,0,C41+D41+E41+F41)</f>
        <v/>
      </c>
      <c r="H41" s="6">
        <f>IF(C41+D41=0,0,(C41+D41)*(1+N(Assumptions!$B$15))+E41*(1+N(Assumptions!$B$15))+F41)</f>
        <v/>
      </c>
    </row>
    <row r="42">
      <c r="A42">
        <f>Teams!A38</f>
        <v/>
      </c>
      <c r="C42" s="6">
        <f>N(Assumptions!G52)</f>
        <v/>
      </c>
      <c r="D42" s="6">
        <f>N(Assumptions!H52)</f>
        <v/>
      </c>
      <c r="E42" s="6">
        <f>C42*N(Assumptions!$B$13)</f>
        <v/>
      </c>
      <c r="F42" s="6">
        <f>N(Assumptions!$B$14)</f>
        <v/>
      </c>
      <c r="G42" s="6">
        <f>IF(C42+D42=0,0,C42+D42+E42+F42)</f>
        <v/>
      </c>
      <c r="H42" s="6">
        <f>IF(C42+D42=0,0,(C42+D42)*(1+N(Assumptions!$B$15))+E42*(1+N(Assumptions!$B$15))+F42)</f>
        <v/>
      </c>
    </row>
    <row r="43">
      <c r="A43">
        <f>Teams!A50</f>
        <v/>
      </c>
      <c r="C43" s="6">
        <f>N(Assumptions!G53)</f>
        <v/>
      </c>
      <c r="D43" s="6">
        <f>N(Assumptions!H53)</f>
        <v/>
      </c>
      <c r="E43" s="6">
        <f>C43*N(Assumptions!$B$13)</f>
        <v/>
      </c>
      <c r="F43" s="6">
        <f>N(Assumptions!$B$14)</f>
        <v/>
      </c>
      <c r="G43" s="6">
        <f>IF(C43+D43=0,0,C43+D43+E43+F43)</f>
        <v/>
      </c>
      <c r="H43" s="6">
        <f>IF(C43+D43=0,0,(C43+D43)*(1+N(Assumptions!$B$15))+E43*(1+N(Assumptions!$B$15))+F43)</f>
        <v/>
      </c>
    </row>
    <row r="44">
      <c r="A44">
        <f>Teams!A62</f>
        <v/>
      </c>
      <c r="C44" s="6">
        <f>N(Assumptions!G54)</f>
        <v/>
      </c>
      <c r="D44" s="6">
        <f>N(Assumptions!H54)</f>
        <v/>
      </c>
      <c r="E44" s="6">
        <f>C44*N(Assumptions!$B$13)</f>
        <v/>
      </c>
      <c r="F44" s="6">
        <f>N(Assumptions!$B$14)</f>
        <v/>
      </c>
      <c r="G44" s="6">
        <f>IF(C44+D44=0,0,C44+D44+E44+F44)</f>
        <v/>
      </c>
      <c r="H44" s="6">
        <f>IF(C44+D44=0,0,(C44+D44)*(1+N(Assumptions!$B$15))+E44*(1+N(Assumptions!$B$15))+F44)</f>
        <v/>
      </c>
    </row>
    <row r="45">
      <c r="A45">
        <f>Teams!A74</f>
        <v/>
      </c>
      <c r="C45" s="6">
        <f>N(Assumptions!G55)</f>
        <v/>
      </c>
      <c r="D45" s="6">
        <f>N(Assumptions!H55)</f>
        <v/>
      </c>
      <c r="E45" s="6">
        <f>C45*N(Assumptions!$B$13)</f>
        <v/>
      </c>
      <c r="F45" s="6">
        <f>N(Assumptions!$B$14)</f>
        <v/>
      </c>
      <c r="G45" s="6">
        <f>IF(C45+D45=0,0,C45+D45+E45+F45)</f>
        <v/>
      </c>
      <c r="H45" s="6">
        <f>IF(C45+D45=0,0,(C45+D45)*(1+N(Assumptions!$B$15))+E45*(1+N(Assumptions!$B$15))+F45)</f>
        <v/>
      </c>
    </row>
    <row r="46">
      <c r="A46">
        <f>Teams!A86</f>
        <v/>
      </c>
      <c r="C46" s="6">
        <f>N(Assumptions!G56)</f>
        <v/>
      </c>
      <c r="D46" s="6">
        <f>N(Assumptions!H56)</f>
        <v/>
      </c>
      <c r="E46" s="6">
        <f>C46*N(Assumptions!$B$13)</f>
        <v/>
      </c>
      <c r="F46" s="6">
        <f>N(Assumptions!$B$14)</f>
        <v/>
      </c>
      <c r="G46" s="6">
        <f>IF(C46+D46=0,0,C46+D46+E46+F46)</f>
        <v/>
      </c>
      <c r="H46" s="6">
        <f>IF(C46+D46=0,0,(C46+D46)*(1+N(Assumptions!$B$15))+E46*(1+N(Assumptions!$B$15))+F46)</f>
        <v/>
      </c>
    </row>
    <row r="47">
      <c r="A47">
        <f>Teams!A98</f>
        <v/>
      </c>
      <c r="C47" s="6">
        <f>N(Assumptions!G57)</f>
        <v/>
      </c>
      <c r="D47" s="6">
        <f>N(Assumptions!H57)</f>
        <v/>
      </c>
      <c r="E47" s="6">
        <f>C47*N(Assumptions!$B$13)</f>
        <v/>
      </c>
      <c r="F47" s="6">
        <f>N(Assumptions!$B$14)</f>
        <v/>
      </c>
      <c r="G47" s="6">
        <f>IF(C47+D47=0,0,C47+D47+E47+F47)</f>
        <v/>
      </c>
      <c r="H47" s="6">
        <f>IF(C47+D47=0,0,(C47+D47)*(1+N(Assumptions!$B$15))+E47*(1+N(Assumptions!$B$15))+F47)</f>
        <v/>
      </c>
    </row>
    <row r="48">
      <c r="A48">
        <f>Teams!A110</f>
        <v/>
      </c>
      <c r="C48" s="6">
        <f>N(Assumptions!G58)</f>
        <v/>
      </c>
      <c r="D48" s="6">
        <f>N(Assumptions!H58)</f>
        <v/>
      </c>
      <c r="E48" s="6">
        <f>C48*N(Assumptions!$B$13)</f>
        <v/>
      </c>
      <c r="F48" s="6">
        <f>N(Assumptions!$B$14)</f>
        <v/>
      </c>
      <c r="G48" s="6">
        <f>IF(C48+D48=0,0,C48+D48+E48+F48)</f>
        <v/>
      </c>
      <c r="H48" s="6">
        <f>IF(C48+D48=0,0,(C48+D48)*(1+N(Assumptions!$B$15))+E48*(1+N(Assumptions!$B$15))+F48)</f>
        <v/>
      </c>
    </row>
    <row r="49">
      <c r="A49">
        <f>Teams!A122</f>
        <v/>
      </c>
      <c r="C49" s="6">
        <f>N(Assumptions!G59)</f>
        <v/>
      </c>
      <c r="D49" s="6">
        <f>N(Assumptions!H59)</f>
        <v/>
      </c>
      <c r="E49" s="6">
        <f>C49*N(Assumptions!$B$13)</f>
        <v/>
      </c>
      <c r="F49" s="6">
        <f>N(Assumptions!$B$14)</f>
        <v/>
      </c>
      <c r="G49" s="6">
        <f>IF(C49+D49=0,0,C49+D49+E49+F49)</f>
        <v/>
      </c>
      <c r="H49" s="6">
        <f>IF(C49+D49=0,0,(C49+D49)*(1+N(Assumptions!$B$15))+E49*(1+N(Assumptions!$B$15))+F49)</f>
        <v/>
      </c>
    </row>
    <row r="50">
      <c r="A50">
        <f>Teams!A134</f>
        <v/>
      </c>
      <c r="C50" s="6">
        <f>N(Assumptions!G60)</f>
        <v/>
      </c>
      <c r="D50" s="6">
        <f>N(Assumptions!H60)</f>
        <v/>
      </c>
      <c r="E50" s="6">
        <f>C50*N(Assumptions!$B$13)</f>
        <v/>
      </c>
      <c r="F50" s="6">
        <f>N(Assumptions!$B$14)</f>
        <v/>
      </c>
      <c r="G50" s="6">
        <f>IF(C50+D50=0,0,C50+D50+E50+F50)</f>
        <v/>
      </c>
      <c r="H50" s="6">
        <f>IF(C50+D50=0,0,(C50+D50)*(1+N(Assumptions!$B$15))+E50*(1+N(Assumptions!$B$15))+F50)</f>
        <v/>
      </c>
    </row>
    <row r="52">
      <c r="A52" s="2" t="inlineStr">
        <is>
          <t>Revenue here is subscription revenue from the ARR target. People cost excludes non-people spend (hosting, programs, rent), so compare it with total operating expense benchmarks with care.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ORM Technologies</dc:creator>
  <dc:title xmlns:dc="http://purl.org/dc/elements/1.1/">ORM Headcount Planning Template for SaaS</dc:title>
  <dcterms:created xmlns:dcterms="http://purl.org/dc/terms/" xmlns:xsi="http://www.w3.org/2001/XMLSchema-instance" xsi:type="dcterms:W3CDTF">2026-10-25T19:37:27Z</dcterms:created>
  <dcterms:modified xmlns:dcterms="http://purl.org/dc/terms/" xmlns:xsi="http://www.w3.org/2001/XMLSchema-instance" xsi:type="dcterms:W3CDTF">2026-10-25T19:37:27Z</dcterms:modified>
</cp:coreProperties>
</file>