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 setup" sheetId="2" state="visible" r:id="rId2"/>
    <sheet xmlns:r="http://schemas.openxmlformats.org/officeDocument/2006/relationships" name="Deals" sheetId="3" state="visible" r:id="rId3"/>
    <sheet xmlns:r="http://schemas.openxmlformats.org/officeDocument/2006/relationships" name="Calc" sheetId="4" state="visible" r:id="rId4"/>
    <sheet xmlns:r="http://schemas.openxmlformats.org/officeDocument/2006/relationships" name="Statement" sheetId="5" state="visible" r:id="rId5"/>
    <sheet xmlns:r="http://schemas.openxmlformats.org/officeDocument/2006/relationships" name="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0&quot;x&quot;"/>
    <numFmt numFmtId="166" formatCode="&quot;$&quot;#,##0"/>
    <numFmt numFmtId="167" formatCode="0.0%"/>
  </numFmts>
  <fonts count="7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</font>
    <font>
      <b val="1"/>
      <color rgb="00FFFFFF"/>
    </font>
    <font>
      <b val="1"/>
      <sz val="12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1F2A37"/>
      </patternFill>
    </fill>
    <fill>
      <patternFill patternType="solid">
        <fgColor rgb="00E5E7EB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1" pivotButton="0" quotePrefix="0" xfId="0"/>
    <xf numFmtId="1" fontId="0" fillId="2" borderId="1" pivotButton="0" quotePrefix="0" xfId="0"/>
    <xf numFmtId="0" fontId="0" fillId="2" borderId="1" pivotButton="0" quotePrefix="0" xfId="0"/>
    <xf numFmtId="0" fontId="4" fillId="3" borderId="0" pivotButton="0" quotePrefix="0" xfId="0"/>
    <xf numFmtId="9" fontId="0" fillId="2" borderId="1" pivotButton="0" quotePrefix="0" xfId="0"/>
    <xf numFmtId="165" fontId="0" fillId="2" borderId="1" pivotButton="0" quotePrefix="0" xfId="0"/>
    <xf numFmtId="0" fontId="4" fillId="3" borderId="0" applyAlignment="1" pivotButton="0" quotePrefix="0" xfId="0">
      <alignment vertical="top" wrapText="1"/>
    </xf>
    <xf numFmtId="166" fontId="0" fillId="2" borderId="1" pivotButton="0" quotePrefix="0" xfId="0"/>
    <xf numFmtId="10" fontId="0" fillId="0" borderId="0" pivotButton="0" quotePrefix="0" xfId="0"/>
    <xf numFmtId="166" fontId="0" fillId="0" borderId="0" pivotButton="0" quotePrefix="0" xfId="0"/>
    <xf numFmtId="0" fontId="3" fillId="4" borderId="0" applyAlignment="1" pivotButton="0" quotePrefix="0" xfId="0">
      <alignment vertical="top" wrapText="1"/>
    </xf>
    <xf numFmtId="0" fontId="0" fillId="2" borderId="0" pivotButton="0" quotePrefix="0" xfId="0"/>
    <xf numFmtId="164" fontId="0" fillId="2" borderId="0" pivotButton="0" quotePrefix="0" xfId="0"/>
    <xf numFmtId="166" fontId="0" fillId="2" borderId="0" pivotButton="0" quotePrefix="0" xfId="0"/>
    <xf numFmtId="9" fontId="0" fillId="2" borderId="0" pivotButton="0" quotePrefix="0" xfId="0"/>
    <xf numFmtId="9" fontId="0" fillId="0" borderId="0" pivotButton="0" quotePrefix="0" xfId="0"/>
    <xf numFmtId="164" fontId="0" fillId="0" borderId="0" pivotButton="0" quotePrefix="0" xfId="0"/>
    <xf numFmtId="167" fontId="0" fillId="0" borderId="0" pivotButton="0" quotePrefix="0" xfId="0"/>
    <xf numFmtId="166" fontId="0" fillId="0" borderId="1" pivotButton="0" quotePrefix="0" xfId="0"/>
    <xf numFmtId="167" fontId="0" fillId="0" borderId="1" pivotButton="0" quotePrefix="0" xfId="0"/>
    <xf numFmtId="0" fontId="0" fillId="0" borderId="1" pivotButton="0" quotePrefix="0" xfId="0"/>
    <xf numFmtId="166" fontId="5" fillId="5" borderId="1" pivotButton="0" quotePrefix="0" xfId="0"/>
    <xf numFmtId="0" fontId="6" fillId="0" borderId="0" pivotButton="0" quotePrefix="0" xfId="0"/>
    <xf numFmtId="166" fontId="3" fillId="0" borderId="0" pivotButton="0" quotePrefix="0" xfId="0"/>
    <xf numFmtId="0" fontId="3" fillId="5" borderId="0" pivotButton="0" quotePrefix="0" xfId="0"/>
    <xf numFmtId="0" fontId="0" fillId="5" borderId="0" pivotButton="0" quotePrefix="0" xfId="0"/>
    <xf numFmtId="166" fontId="3" fillId="5" borderId="0" pivotButton="0" quotePrefix="0" xfId="0"/>
    <xf numFmtId="167" fontId="3" fillId="5" borderId="0" pivotButton="0" quotePrefix="0" xfId="0"/>
    <xf numFmtId="1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4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Commission spreadsheet template</t>
        </is>
      </c>
    </row>
    <row r="2">
      <c r="A2" s="2" t="inlineStr">
        <is>
          <t>Free from ORM Technologies (orm-tech.com/tools/commission-spreadsheet-template/). Works in Excel and Google Sheets.</t>
        </is>
      </c>
    </row>
    <row r="3">
      <c r="A3" s="3" t="inlineStr"/>
    </row>
    <row r="4">
      <c r="A4" s="4" t="inlineStr">
        <is>
          <t>What it does</t>
        </is>
      </c>
    </row>
    <row r="5">
      <c r="A5" s="3" t="inlineStr">
        <is>
          <t>Log every closed deal once. The sheet credits each rep (with splits), applies your deal-type credit rules, pays tiered rates with accelerators on the slice of attainment inside each tier, reverses clawed-back deals, and builds a monthly statement per rep.</t>
        </is>
      </c>
    </row>
    <row r="6">
      <c r="A6" s="3" t="inlineStr"/>
    </row>
    <row r="7">
      <c r="A7" s="4" t="inlineStr">
        <is>
          <t>How to use it</t>
        </is>
      </c>
    </row>
    <row r="8">
      <c r="A8" s="3" t="inlineStr">
        <is>
          <t>1. Plan setup: enter the plan year start, the rate table, deal-type credit, the clawback window and each rep's annual quota and target incentive.</t>
        </is>
      </c>
    </row>
    <row r="9">
      <c r="A9" s="3" t="inlineStr">
        <is>
          <t>2. Deals: add one row per closed deal. Yellow columns are inputs. Grey columns are formulas: leave them alone.</t>
        </is>
      </c>
    </row>
    <row r="10">
      <c r="A10" s="3" t="inlineStr">
        <is>
          <t>3. If a deal is cancelled inside the clawback window, type the clawback date on its row. Do not delete the row.</t>
        </is>
      </c>
    </row>
    <row r="11">
      <c r="A11" s="3" t="inlineStr">
        <is>
          <t>4. Statement: pick a rep and a month to see that month's deals, credit, tier and payout. Send it to the rep.</t>
        </is>
      </c>
    </row>
    <row r="12">
      <c r="A12" s="3" t="inlineStr">
        <is>
          <t>5. Summary: set 'Summary as of month' on Plan setup to see every rep's year to date and the monthly payout grid for finance.</t>
        </is>
      </c>
    </row>
    <row r="13">
      <c r="A13" s="3" t="inlineStr"/>
    </row>
    <row r="14">
      <c r="A14" s="4" t="inlineStr">
        <is>
          <t>Tabs</t>
        </is>
      </c>
    </row>
    <row r="15">
      <c r="A15" s="3" t="inlineStr">
        <is>
          <t>Plan setup: plan rules and reps (inputs).</t>
        </is>
      </c>
    </row>
    <row r="16">
      <c r="A16" s="3" t="inlineStr">
        <is>
          <t>Deals: the deal log, one row per closed deal (inputs plus formula columns).</t>
        </is>
      </c>
    </row>
    <row r="17">
      <c r="A17" s="3" t="inlineStr">
        <is>
          <t>Calc: one row per rep per month. Credit, year-to-date attainment, tier math, earned, paid and payable. No inputs.</t>
        </is>
      </c>
    </row>
    <row r="18">
      <c r="A18" s="3" t="inlineStr">
        <is>
          <t>Statement: a one-page commission statement for one rep and one month.</t>
        </is>
      </c>
    </row>
    <row r="19">
      <c r="A19" s="3" t="inlineStr">
        <is>
          <t>Summary: year to date by rep and a rep-by-month payout grid.</t>
        </is>
      </c>
    </row>
    <row r="20">
      <c r="A20" s="3" t="inlineStr"/>
    </row>
    <row r="21">
      <c r="A21" s="4" t="inlineStr">
        <is>
          <t>How the math works</t>
        </is>
      </c>
    </row>
    <row r="22">
      <c r="A22" s="3" t="inlineStr">
        <is>
          <t>Base commission rate = target incentive / annual quota. A rep with an $800,000 quota and $80,000 target incentive earns 10% per dollar of credit up to quota.</t>
        </is>
      </c>
    </row>
    <row r="23">
      <c r="A23" s="3" t="inlineStr">
        <is>
          <t>Each tier pays its multiplier on the credit that falls inside it (marginal tiers). Default: 1.0x up to 100% of quota, 1.5x from 100% to 150%, 2.0x above 150%.</t>
        </is>
      </c>
    </row>
    <row r="24">
      <c r="A24" s="3" t="inlineStr">
        <is>
          <t>Attainment is measured year to date against the annual quota. Payable this month = commission earned year to date minus everything already paid. A clawback lowers year-to-date credit, so the next payouts shrink until the rep has earned the difference back (shown as 'Owed back').</t>
        </is>
      </c>
    </row>
    <row r="25">
      <c r="A25" s="3" t="inlineStr">
        <is>
          <t>Splits: Rep 1 split + Rep 2 split must equal 100% of the deal's credit. The Check column flags anything that does not.</t>
        </is>
      </c>
    </row>
    <row r="26">
      <c r="A26" s="3" t="inlineStr"/>
    </row>
    <row r="27">
      <c r="A27" s="4" t="inlineStr">
        <is>
          <t>Google Sheets</t>
        </is>
      </c>
    </row>
    <row r="28">
      <c r="A28" s="3" t="inlineStr">
        <is>
          <t>Upload the file to Google Drive and open it with Google Sheets, or use File &gt; Import &gt; Upload in a blank sheet. All formulas (SUMIFS, INDEX/MATCH, EDATE, COUNTIF) work in both.</t>
        </is>
      </c>
    </row>
    <row r="29">
      <c r="A29" s="3" t="inlineStr"/>
    </row>
    <row r="30">
      <c r="A30" s="4" t="inlineStr">
        <is>
          <t>Sample data</t>
        </is>
      </c>
    </row>
    <row r="31">
      <c r="A31" s="3" t="inlineStr">
        <is>
          <t>The reps, accounts and amounts are illustrative. Clear the yellow cells on Deals and Plan setup (reps) before you use it for real pay.</t>
        </is>
      </c>
    </row>
    <row r="32">
      <c r="A32" s="3" t="inlineStr"/>
    </row>
    <row r="33">
      <c r="A33" s="4" t="inlineStr">
        <is>
          <t>Before you pay anyone</t>
        </is>
      </c>
    </row>
    <row r="34">
      <c r="A34" s="3" t="inlineStr">
        <is>
          <t>Tie the year's credited bookings to what finance reports for the same period. Keep a saved copy of each month's file after payroll so you can answer a dispute later.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8" customWidth="1" min="1" max="1"/>
    <col width="22" customWidth="1" min="2" max="2"/>
    <col width="18" customWidth="1" min="3" max="3"/>
    <col width="22" customWidth="1" min="4" max="4"/>
    <col width="16" customWidth="1" min="5" max="5"/>
    <col width="14" customWidth="1" min="6" max="6"/>
    <col width="14" customWidth="1" min="7" max="7"/>
  </cols>
  <sheetData>
    <row r="1">
      <c r="A1" s="5" t="inlineStr">
        <is>
          <t>Plan setup</t>
        </is>
      </c>
    </row>
    <row r="2">
      <c r="A2" s="6" t="inlineStr">
        <is>
          <t>Yellow cells are inputs. Sample values are illustrative.</t>
        </is>
      </c>
    </row>
    <row r="3">
      <c r="A3" s="7" t="inlineStr">
        <is>
          <t>Plan year starts</t>
        </is>
      </c>
      <c r="B3" s="8" t="n">
        <v>46023</v>
      </c>
    </row>
    <row r="4">
      <c r="A4" s="7" t="inlineStr">
        <is>
          <t>Summary as of month (1 to 12)</t>
        </is>
      </c>
      <c r="B4" s="9" t="n">
        <v>9</v>
      </c>
    </row>
    <row r="5">
      <c r="A5" s="7" t="inlineStr">
        <is>
          <t>Clawback window (days after close)</t>
        </is>
      </c>
      <c r="B5" s="9" t="n">
        <v>365</v>
      </c>
    </row>
    <row r="6">
      <c r="A6" s="7" t="inlineStr">
        <is>
          <t>Currency</t>
        </is>
      </c>
      <c r="B6" s="10" t="inlineStr">
        <is>
          <t>USD</t>
        </is>
      </c>
    </row>
    <row r="8">
      <c r="A8" s="7" t="inlineStr">
        <is>
          <t>Rate table: each tier pays its multiplier x the rep's base commission rate on the credit inside the tier. Leave 'To' blank for no cap.</t>
        </is>
      </c>
    </row>
    <row r="9">
      <c r="A9" s="11" t="inlineStr">
        <is>
          <t>Tier</t>
        </is>
      </c>
      <c r="B9" s="11" t="inlineStr">
        <is>
          <t>From (attainment)</t>
        </is>
      </c>
      <c r="C9" s="11" t="inlineStr">
        <is>
          <t>To (attainment)</t>
        </is>
      </c>
      <c r="D9" s="11" t="inlineStr">
        <is>
          <t>Rate multiplier</t>
        </is>
      </c>
    </row>
    <row r="10">
      <c r="A10" t="inlineStr">
        <is>
          <t>Tier 1</t>
        </is>
      </c>
      <c r="B10" s="12" t="n">
        <v>0</v>
      </c>
      <c r="C10" s="12" t="n">
        <v>1</v>
      </c>
      <c r="D10" s="13" t="n">
        <v>1</v>
      </c>
    </row>
    <row r="11">
      <c r="A11" t="inlineStr">
        <is>
          <t>Tier 2</t>
        </is>
      </c>
      <c r="B11" s="12" t="n">
        <v>1</v>
      </c>
      <c r="C11" s="12" t="n">
        <v>1.5</v>
      </c>
      <c r="D11" s="13" t="n">
        <v>1.5</v>
      </c>
    </row>
    <row r="12">
      <c r="A12" t="inlineStr">
        <is>
          <t>Tier 3</t>
        </is>
      </c>
      <c r="B12" s="12" t="n">
        <v>1.5</v>
      </c>
      <c r="C12" s="12" t="n"/>
      <c r="D12" s="13" t="n">
        <v>2</v>
      </c>
    </row>
    <row r="13">
      <c r="A13" t="inlineStr">
        <is>
          <t>Tier 4</t>
        </is>
      </c>
      <c r="B13" s="12" t="n"/>
      <c r="C13" s="12" t="n"/>
      <c r="D13" s="13" t="n"/>
    </row>
    <row r="15">
      <c r="A15" s="7" t="inlineStr">
        <is>
          <t>Deal types: share of the booking amount that earns quota and commission credit</t>
        </is>
      </c>
    </row>
    <row r="16">
      <c r="A16" s="11" t="inlineStr">
        <is>
          <t>Deal type</t>
        </is>
      </c>
      <c r="B16" s="11" t="inlineStr">
        <is>
          <t>Credit %</t>
        </is>
      </c>
    </row>
    <row r="17">
      <c r="A17" s="10" t="inlineStr">
        <is>
          <t>New business</t>
        </is>
      </c>
      <c r="B17" s="12" t="n">
        <v>1</v>
      </c>
    </row>
    <row r="18">
      <c r="A18" s="10" t="inlineStr">
        <is>
          <t>Expansion</t>
        </is>
      </c>
      <c r="B18" s="12" t="n">
        <v>1</v>
      </c>
    </row>
    <row r="19">
      <c r="A19" s="10" t="inlineStr">
        <is>
          <t>Renewal</t>
        </is>
      </c>
      <c r="B19" s="12" t="n">
        <v>0.25</v>
      </c>
    </row>
    <row r="20">
      <c r="A20" s="10" t="n"/>
      <c r="B20" s="12" t="n"/>
    </row>
    <row r="21">
      <c r="A21" s="10" t="n"/>
      <c r="B21" s="12" t="n"/>
    </row>
    <row r="23">
      <c r="A23" s="7" t="inlineStr">
        <is>
          <t>Reps (up to 10). Base commission rate and OTE are formulas.</t>
        </is>
      </c>
    </row>
    <row r="24" ht="32" customHeight="1">
      <c r="A24" s="14" t="inlineStr">
        <is>
          <t>Rep</t>
        </is>
      </c>
      <c r="B24" s="14" t="inlineStr">
        <is>
          <t>Role</t>
        </is>
      </c>
      <c r="C24" s="14" t="inlineStr">
        <is>
          <t>Annual quota</t>
        </is>
      </c>
      <c r="D24" s="14" t="inlineStr">
        <is>
          <t>Target incentive (variable at 100%)</t>
        </is>
      </c>
      <c r="E24" s="14" t="inlineStr">
        <is>
          <t>Base commission rate</t>
        </is>
      </c>
      <c r="F24" s="14" t="inlineStr">
        <is>
          <t>Base salary</t>
        </is>
      </c>
      <c r="G24" s="14" t="inlineStr">
        <is>
          <t>OTE</t>
        </is>
      </c>
    </row>
    <row r="25">
      <c r="A25" s="10" t="inlineStr">
        <is>
          <t>Jordan Lee</t>
        </is>
      </c>
      <c r="B25" s="10" t="inlineStr">
        <is>
          <t>Account Executive</t>
        </is>
      </c>
      <c r="C25" s="15" t="n">
        <v>800000</v>
      </c>
      <c r="D25" s="15" t="n">
        <v>80000</v>
      </c>
      <c r="E25" s="16">
        <f>IF(OR(A25="",N(C25)=0),"",D25/C25)</f>
        <v/>
      </c>
      <c r="F25" s="15" t="n">
        <v>90000</v>
      </c>
      <c r="G25" s="17">
        <f>IF(A25="","",F25+D25)</f>
        <v/>
      </c>
    </row>
    <row r="26">
      <c r="A26" s="10" t="inlineStr">
        <is>
          <t>Priya Shah</t>
        </is>
      </c>
      <c r="B26" s="10" t="inlineStr">
        <is>
          <t>Account Executive</t>
        </is>
      </c>
      <c r="C26" s="15" t="n">
        <v>800000</v>
      </c>
      <c r="D26" s="15" t="n">
        <v>80000</v>
      </c>
      <c r="E26" s="16">
        <f>IF(OR(A26="",N(C26)=0),"",D26/C26)</f>
        <v/>
      </c>
      <c r="F26" s="15" t="n">
        <v>90000</v>
      </c>
      <c r="G26" s="17">
        <f>IF(A26="","",F26+D26)</f>
        <v/>
      </c>
    </row>
    <row r="27">
      <c r="A27" s="10" t="inlineStr">
        <is>
          <t>Marcus Bell</t>
        </is>
      </c>
      <c r="B27" s="10" t="inlineStr">
        <is>
          <t>Enterprise AE</t>
        </is>
      </c>
      <c r="C27" s="15" t="n">
        <v>1200000</v>
      </c>
      <c r="D27" s="15" t="n">
        <v>120000</v>
      </c>
      <c r="E27" s="16">
        <f>IF(OR(A27="",N(C27)=0),"",D27/C27)</f>
        <v/>
      </c>
      <c r="F27" s="15" t="n">
        <v>120000</v>
      </c>
      <c r="G27" s="17">
        <f>IF(A27="","",F27+D27)</f>
        <v/>
      </c>
    </row>
    <row r="28">
      <c r="A28" s="10" t="inlineStr">
        <is>
          <t>Elena Ruiz</t>
        </is>
      </c>
      <c r="B28" s="10" t="inlineStr">
        <is>
          <t>Account Manager</t>
        </is>
      </c>
      <c r="C28" s="15" t="n">
        <v>600000</v>
      </c>
      <c r="D28" s="15" t="n">
        <v>48000</v>
      </c>
      <c r="E28" s="16">
        <f>IF(OR(A28="",N(C28)=0),"",D28/C28)</f>
        <v/>
      </c>
      <c r="F28" s="15" t="n">
        <v>85000</v>
      </c>
      <c r="G28" s="17">
        <f>IF(A28="","",F28+D28)</f>
        <v/>
      </c>
    </row>
    <row r="29">
      <c r="A29" s="10" t="n"/>
      <c r="B29" s="10" t="n"/>
      <c r="C29" s="15" t="n"/>
      <c r="D29" s="15" t="n"/>
      <c r="E29" s="16">
        <f>IF(OR(A29="",N(C29)=0),"",D29/C29)</f>
        <v/>
      </c>
      <c r="F29" s="15" t="n"/>
      <c r="G29" s="17">
        <f>IF(A29="","",F29+D29)</f>
        <v/>
      </c>
    </row>
    <row r="30">
      <c r="A30" s="10" t="n"/>
      <c r="B30" s="10" t="n"/>
      <c r="C30" s="15" t="n"/>
      <c r="D30" s="15" t="n"/>
      <c r="E30" s="16">
        <f>IF(OR(A30="",N(C30)=0),"",D30/C30)</f>
        <v/>
      </c>
      <c r="F30" s="15" t="n"/>
      <c r="G30" s="17">
        <f>IF(A30="","",F30+D30)</f>
        <v/>
      </c>
    </row>
    <row r="31">
      <c r="A31" s="10" t="n"/>
      <c r="B31" s="10" t="n"/>
      <c r="C31" s="15" t="n"/>
      <c r="D31" s="15" t="n"/>
      <c r="E31" s="16">
        <f>IF(OR(A31="",N(C31)=0),"",D31/C31)</f>
        <v/>
      </c>
      <c r="F31" s="15" t="n"/>
      <c r="G31" s="17">
        <f>IF(A31="","",F31+D31)</f>
        <v/>
      </c>
    </row>
    <row r="32">
      <c r="A32" s="10" t="n"/>
      <c r="B32" s="10" t="n"/>
      <c r="C32" s="15" t="n"/>
      <c r="D32" s="15" t="n"/>
      <c r="E32" s="16">
        <f>IF(OR(A32="",N(C32)=0),"",D32/C32)</f>
        <v/>
      </c>
      <c r="F32" s="15" t="n"/>
      <c r="G32" s="17">
        <f>IF(A32="","",F32+D32)</f>
        <v/>
      </c>
    </row>
    <row r="33">
      <c r="A33" s="10" t="n"/>
      <c r="B33" s="10" t="n"/>
      <c r="C33" s="15" t="n"/>
      <c r="D33" s="15" t="n"/>
      <c r="E33" s="16">
        <f>IF(OR(A33="",N(C33)=0),"",D33/C33)</f>
        <v/>
      </c>
      <c r="F33" s="15" t="n"/>
      <c r="G33" s="17">
        <f>IF(A33="","",F33+D33)</f>
        <v/>
      </c>
    </row>
    <row r="34">
      <c r="A34" s="10" t="n"/>
      <c r="B34" s="10" t="n"/>
      <c r="C34" s="15" t="n"/>
      <c r="D34" s="15" t="n"/>
      <c r="E34" s="16">
        <f>IF(OR(A34="",N(C34)=0),"",D34/C34)</f>
        <v/>
      </c>
      <c r="F34" s="15" t="n"/>
      <c r="G34" s="17">
        <f>IF(A34="","",F34+D34)</f>
        <v/>
      </c>
    </row>
  </sheetData>
  <dataValidations count="1">
    <dataValidation sqref="B4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X3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14" customWidth="1" min="4" max="4"/>
    <col width="15" customWidth="1" min="5" max="5"/>
    <col width="14" customWidth="1" min="6" max="6"/>
    <col width="9" customWidth="1" min="7" max="7"/>
    <col width="14" customWidth="1" min="8" max="8"/>
    <col width="9" customWidth="1" min="9" max="9"/>
    <col width="13" customWidth="1" min="10" max="10"/>
    <col width="34" customWidth="1" min="11" max="11"/>
    <col width="9" customWidth="1" min="12" max="12"/>
    <col width="14" customWidth="1" min="13" max="13"/>
    <col width="13" customWidth="1" min="14" max="14"/>
    <col width="13" customWidth="1" min="15" max="15"/>
    <col width="15" customWidth="1" min="16" max="16"/>
    <col width="13" customWidth="1" min="17" max="17"/>
    <col width="30" customWidth="1" min="18" max="18"/>
    <col width="10" customWidth="1" min="19" max="19"/>
    <col width="8" customWidth="1" min="20" max="20"/>
    <col width="12" customWidth="1" min="21" max="21"/>
    <col width="13" customWidth="1" min="22" max="22"/>
    <col width="9" customWidth="1" min="23" max="23"/>
    <col width="26" customWidth="1" min="24" max="24"/>
  </cols>
  <sheetData>
    <row r="1" ht="32" customHeight="1">
      <c r="A1" s="14" t="inlineStr">
        <is>
          <t>Deal ID</t>
        </is>
      </c>
      <c r="B1" s="14" t="inlineStr">
        <is>
          <t>Close date</t>
        </is>
      </c>
      <c r="C1" s="14" t="inlineStr">
        <is>
          <t>Customer</t>
        </is>
      </c>
      <c r="D1" s="14" t="inlineStr">
        <is>
          <t>Deal type</t>
        </is>
      </c>
      <c r="E1" s="14" t="inlineStr">
        <is>
          <t>Booking amount</t>
        </is>
      </c>
      <c r="F1" s="14" t="inlineStr">
        <is>
          <t>Rep 1</t>
        </is>
      </c>
      <c r="G1" s="14" t="inlineStr">
        <is>
          <t>Rep 1 split</t>
        </is>
      </c>
      <c r="H1" s="14" t="inlineStr">
        <is>
          <t>Rep 2</t>
        </is>
      </c>
      <c r="I1" s="14" t="inlineStr">
        <is>
          <t>Rep 2 split</t>
        </is>
      </c>
      <c r="J1" s="14" t="inlineStr">
        <is>
          <t>Clawback date</t>
        </is>
      </c>
      <c r="K1" s="14" t="inlineStr">
        <is>
          <t>Notes</t>
        </is>
      </c>
      <c r="L1" s="18" t="inlineStr">
        <is>
          <t>Credit %</t>
        </is>
      </c>
      <c r="M1" s="18" t="inlineStr">
        <is>
          <t>Credit amount</t>
        </is>
      </c>
      <c r="N1" s="18" t="inlineStr">
        <is>
          <t>Rep 1 credit</t>
        </is>
      </c>
      <c r="O1" s="18" t="inlineStr">
        <is>
          <t>Rep 2 credit</t>
        </is>
      </c>
      <c r="P1" s="18" t="inlineStr">
        <is>
          <t>Clawback status</t>
        </is>
      </c>
      <c r="Q1" s="18" t="inlineStr">
        <is>
          <t>Counted clawback date</t>
        </is>
      </c>
      <c r="R1" s="18" t="inlineStr">
        <is>
          <t>Check</t>
        </is>
      </c>
      <c r="S1" s="18" t="inlineStr">
        <is>
          <t>Stmt: in month</t>
        </is>
      </c>
      <c r="T1" s="18" t="inlineStr">
        <is>
          <t>Stmt: line</t>
        </is>
      </c>
      <c r="U1" s="18" t="inlineStr">
        <is>
          <t>Stmt: rep credit</t>
        </is>
      </c>
      <c r="V1" s="18" t="inlineStr">
        <is>
          <t>Stmt: credit this month</t>
        </is>
      </c>
      <c r="W1" s="18" t="inlineStr">
        <is>
          <t>Stmt: split</t>
        </is>
      </c>
      <c r="X1" s="18" t="inlineStr">
        <is>
          <t>Stmt: note</t>
        </is>
      </c>
    </row>
    <row r="2">
      <c r="A2" s="19" t="inlineStr">
        <is>
          <t>D-1002</t>
        </is>
      </c>
      <c r="B2" s="20" t="n">
        <v>46031</v>
      </c>
      <c r="C2" s="19" t="inlineStr">
        <is>
          <t>Sample account 02</t>
        </is>
      </c>
      <c r="D2" s="19" t="inlineStr">
        <is>
          <t>New business</t>
        </is>
      </c>
      <c r="E2" s="21" t="n">
        <v>60000</v>
      </c>
      <c r="F2" s="19" t="inlineStr">
        <is>
          <t>Priya Shah</t>
        </is>
      </c>
      <c r="G2" s="22" t="n">
        <v>1</v>
      </c>
      <c r="H2" s="19" t="n"/>
      <c r="I2" s="22" t="n"/>
      <c r="J2" s="20" t="n"/>
      <c r="K2" s="19" t="n"/>
      <c r="L2" s="23">
        <f>IF($E2="","",IFERROR(VLOOKUP($D2,'Plan setup'!$A$17:$B$21,2,FALSE),0))</f>
        <v/>
      </c>
      <c r="M2" s="17">
        <f>IF($E2="","",$E2*$L2)</f>
        <v/>
      </c>
      <c r="N2" s="17">
        <f>IF(OR($E2="",$F2=""),0,$M2*$G2)</f>
        <v/>
      </c>
      <c r="O2" s="17">
        <f>IF(OR($E2="",$H2=""),0,$M2*$I2)</f>
        <v/>
      </c>
      <c r="P2">
        <f>IF($J2="","",IF($J2-$B2&lt;='Plan setup'!$B$5,"Reversed","Outside window"))</f>
        <v/>
      </c>
      <c r="Q2" s="24">
        <f>IF($P2="Reversed",$J2,"")</f>
        <v/>
      </c>
      <c r="R2">
        <f>IF($E2="","",IF(ABS($G2+IF($I2="",0,$I2)-1)&gt;0.0001,"Splits must total 100%",IF(COUNTIF('Plan setup'!$A$25:$A$34,$F2)=0,"Rep 1 not in Plan setup",IF(IF($H2="",FALSE,COUNTIF('Plan setup'!$A$25:$A$34,$H2)=0),"Rep 2 not in Plan setup",IF(COUNTIF('Plan setup'!$A$17:$A$21,$D2)=0,"Unknown deal type",IF($P2="Outside window","Clawback outside window: not reversed","OK"))))))</f>
        <v/>
      </c>
      <c r="S2">
        <f>AND(ISNUMBER($B2),OR($F2=Statement!$C$3,$H2=Statement!$C$3),OR(AND($B2&gt;=Statement!$C$6,$B2&lt;=Statement!$C$7),AND(ISNUMBER($Q2),$Q2&gt;=Statement!$C$6,$Q2&lt;=Statement!$C$7)))</f>
        <v/>
      </c>
      <c r="T2">
        <f>IF($S2,COUNTIF($S$2:$S2,TRUE),"")</f>
        <v/>
      </c>
      <c r="U2" s="17">
        <f>IF($F2=Statement!$C$3,$N2,0)+IF($H2=Statement!$C$3,$O2,0)</f>
        <v/>
      </c>
      <c r="V2" s="17">
        <f>IF(NOT($S2),0,IF(AND($B2&gt;=Statement!$C$6,$B2&lt;=Statement!$C$7),$U2,0)-IF(ISNUMBER($Q2),IF(AND($Q2&gt;=Statement!$C$6,$Q2&lt;=Statement!$C$7),$U2,0),0))</f>
        <v/>
      </c>
      <c r="W2" s="23">
        <f>IF($F2=Statement!$C$3,$G2,0)+IF($H2=Statement!$C$3,IF($I2="",0,$I2),0)</f>
        <v/>
      </c>
      <c r="X2">
        <f>IF(NOT($S2),"",IF(ISNUMBER($Q2),IF(AND($Q2&gt;=Statement!$C$6,$Q2&lt;=Statement!$C$7),"Clawback: credit reversed",""),"")&amp;IF(AND($B2&gt;=Statement!$C$6,$B2&lt;=Statement!$C$7,N($L2)&lt;1),"Partial credit: "&amp;TEXT($L2,"0%"),""))</f>
        <v/>
      </c>
    </row>
    <row r="3">
      <c r="A3" s="19" t="inlineStr">
        <is>
          <t>D-1001</t>
        </is>
      </c>
      <c r="B3" s="20" t="n">
        <v>46044</v>
      </c>
      <c r="C3" s="19" t="inlineStr">
        <is>
          <t>Sample account 01</t>
        </is>
      </c>
      <c r="D3" s="19" t="inlineStr">
        <is>
          <t>New business</t>
        </is>
      </c>
      <c r="E3" s="21" t="n">
        <v>85000</v>
      </c>
      <c r="F3" s="19" t="inlineStr">
        <is>
          <t>Jordan Lee</t>
        </is>
      </c>
      <c r="G3" s="22" t="n">
        <v>1</v>
      </c>
      <c r="H3" s="19" t="n"/>
      <c r="I3" s="22" t="n"/>
      <c r="J3" s="20" t="n"/>
      <c r="K3" s="19" t="n"/>
      <c r="L3" s="23">
        <f>IF($E3="","",IFERROR(VLOOKUP($D3,'Plan setup'!$A$17:$B$21,2,FALSE),0))</f>
        <v/>
      </c>
      <c r="M3" s="17">
        <f>IF($E3="","",$E3*$L3)</f>
        <v/>
      </c>
      <c r="N3" s="17">
        <f>IF(OR($E3="",$F3=""),0,$M3*$G3)</f>
        <v/>
      </c>
      <c r="O3" s="17">
        <f>IF(OR($E3="",$H3=""),0,$M3*$I3)</f>
        <v/>
      </c>
      <c r="P3">
        <f>IF($J3="","",IF($J3-$B3&lt;='Plan setup'!$B$5,"Reversed","Outside window"))</f>
        <v/>
      </c>
      <c r="Q3" s="24">
        <f>IF($P3="Reversed",$J3,"")</f>
        <v/>
      </c>
      <c r="R3">
        <f>IF($E3="","",IF(ABS($G3+IF($I3="",0,$I3)-1)&gt;0.0001,"Splits must total 100%",IF(COUNTIF('Plan setup'!$A$25:$A$34,$F3)=0,"Rep 1 not in Plan setup",IF(IF($H3="",FALSE,COUNTIF('Plan setup'!$A$25:$A$34,$H3)=0),"Rep 2 not in Plan setup",IF(COUNTIF('Plan setup'!$A$17:$A$21,$D3)=0,"Unknown deal type",IF($P3="Outside window","Clawback outside window: not reversed","OK"))))))</f>
        <v/>
      </c>
      <c r="S3">
        <f>AND(ISNUMBER($B3),OR($F3=Statement!$C$3,$H3=Statement!$C$3),OR(AND($B3&gt;=Statement!$C$6,$B3&lt;=Statement!$C$7),AND(ISNUMBER($Q3),$Q3&gt;=Statement!$C$6,$Q3&lt;=Statement!$C$7)))</f>
        <v/>
      </c>
      <c r="T3">
        <f>IF($S3,COUNTIF($S$2:$S3,TRUE),"")</f>
        <v/>
      </c>
      <c r="U3" s="17">
        <f>IF($F3=Statement!$C$3,$N3,0)+IF($H3=Statement!$C$3,$O3,0)</f>
        <v/>
      </c>
      <c r="V3" s="17">
        <f>IF(NOT($S3),0,IF(AND($B3&gt;=Statement!$C$6,$B3&lt;=Statement!$C$7),$U3,0)-IF(ISNUMBER($Q3),IF(AND($Q3&gt;=Statement!$C$6,$Q3&lt;=Statement!$C$7),$U3,0),0))</f>
        <v/>
      </c>
      <c r="W3" s="23">
        <f>IF($F3=Statement!$C$3,$G3,0)+IF($H3=Statement!$C$3,IF($I3="",0,$I3),0)</f>
        <v/>
      </c>
      <c r="X3">
        <f>IF(NOT($S3),"",IF(ISNUMBER($Q3),IF(AND($Q3&gt;=Statement!$C$6,$Q3&lt;=Statement!$C$7),"Clawback: credit reversed",""),"")&amp;IF(AND($B3&gt;=Statement!$C$6,$B3&lt;=Statement!$C$7,N($L3)&lt;1),"Partial credit: "&amp;TEXT($L3,"0%"),""))</f>
        <v/>
      </c>
    </row>
    <row r="4">
      <c r="A4" s="19" t="inlineStr">
        <is>
          <t>D-1003</t>
        </is>
      </c>
      <c r="B4" s="20" t="n">
        <v>46052</v>
      </c>
      <c r="C4" s="19" t="inlineStr">
        <is>
          <t>Sample account 03</t>
        </is>
      </c>
      <c r="D4" s="19" t="inlineStr">
        <is>
          <t>New business</t>
        </is>
      </c>
      <c r="E4" s="21" t="n">
        <v>210000</v>
      </c>
      <c r="F4" s="19" t="inlineStr">
        <is>
          <t>Marcus Bell</t>
        </is>
      </c>
      <c r="G4" s="22" t="n">
        <v>1</v>
      </c>
      <c r="H4" s="19" t="n"/>
      <c r="I4" s="22" t="n"/>
      <c r="J4" s="20" t="n"/>
      <c r="K4" s="19" t="n"/>
      <c r="L4" s="23">
        <f>IF($E4="","",IFERROR(VLOOKUP($D4,'Plan setup'!$A$17:$B$21,2,FALSE),0))</f>
        <v/>
      </c>
      <c r="M4" s="17">
        <f>IF($E4="","",$E4*$L4)</f>
        <v/>
      </c>
      <c r="N4" s="17">
        <f>IF(OR($E4="",$F4=""),0,$M4*$G4)</f>
        <v/>
      </c>
      <c r="O4" s="17">
        <f>IF(OR($E4="",$H4=""),0,$M4*$I4)</f>
        <v/>
      </c>
      <c r="P4">
        <f>IF($J4="","",IF($J4-$B4&lt;='Plan setup'!$B$5,"Reversed","Outside window"))</f>
        <v/>
      </c>
      <c r="Q4" s="24">
        <f>IF($P4="Reversed",$J4,"")</f>
        <v/>
      </c>
      <c r="R4">
        <f>IF($E4="","",IF(ABS($G4+IF($I4="",0,$I4)-1)&gt;0.0001,"Splits must total 100%",IF(COUNTIF('Plan setup'!$A$25:$A$34,$F4)=0,"Rep 1 not in Plan setup",IF(IF($H4="",FALSE,COUNTIF('Plan setup'!$A$25:$A$34,$H4)=0),"Rep 2 not in Plan setup",IF(COUNTIF('Plan setup'!$A$17:$A$21,$D4)=0,"Unknown deal type",IF($P4="Outside window","Clawback outside window: not reversed","OK"))))))</f>
        <v/>
      </c>
      <c r="S4">
        <f>AND(ISNUMBER($B4),OR($F4=Statement!$C$3,$H4=Statement!$C$3),OR(AND($B4&gt;=Statement!$C$6,$B4&lt;=Statement!$C$7),AND(ISNUMBER($Q4),$Q4&gt;=Statement!$C$6,$Q4&lt;=Statement!$C$7)))</f>
        <v/>
      </c>
      <c r="T4">
        <f>IF($S4,COUNTIF($S$2:$S4,TRUE),"")</f>
        <v/>
      </c>
      <c r="U4" s="17">
        <f>IF($F4=Statement!$C$3,$N4,0)+IF($H4=Statement!$C$3,$O4,0)</f>
        <v/>
      </c>
      <c r="V4" s="17">
        <f>IF(NOT($S4),0,IF(AND($B4&gt;=Statement!$C$6,$B4&lt;=Statement!$C$7),$U4,0)-IF(ISNUMBER($Q4),IF(AND($Q4&gt;=Statement!$C$6,$Q4&lt;=Statement!$C$7),$U4,0),0))</f>
        <v/>
      </c>
      <c r="W4" s="23">
        <f>IF($F4=Statement!$C$3,$G4,0)+IF($H4=Statement!$C$3,IF($I4="",0,$I4),0)</f>
        <v/>
      </c>
      <c r="X4">
        <f>IF(NOT($S4),"",IF(ISNUMBER($Q4),IF(AND($Q4&gt;=Statement!$C$6,$Q4&lt;=Statement!$C$7),"Clawback: credit reversed",""),"")&amp;IF(AND($B4&gt;=Statement!$C$6,$B4&lt;=Statement!$C$7,N($L4)&lt;1),"Partial credit: "&amp;TEXT($L4,"0%"),""))</f>
        <v/>
      </c>
    </row>
    <row r="5">
      <c r="A5" s="19" t="inlineStr">
        <is>
          <t>D-1005</t>
        </is>
      </c>
      <c r="B5" s="20" t="n">
        <v>46063</v>
      </c>
      <c r="C5" s="19" t="inlineStr">
        <is>
          <t>Sample account 05</t>
        </is>
      </c>
      <c r="D5" s="19" t="inlineStr">
        <is>
          <t>Renewal</t>
        </is>
      </c>
      <c r="E5" s="21" t="n">
        <v>240000</v>
      </c>
      <c r="F5" s="19" t="inlineStr">
        <is>
          <t>Elena Ruiz</t>
        </is>
      </c>
      <c r="G5" s="22" t="n">
        <v>1</v>
      </c>
      <c r="H5" s="19" t="n"/>
      <c r="I5" s="22" t="n"/>
      <c r="J5" s="20" t="n"/>
      <c r="K5" s="19" t="n"/>
      <c r="L5" s="23">
        <f>IF($E5="","",IFERROR(VLOOKUP($D5,'Plan setup'!$A$17:$B$21,2,FALSE),0))</f>
        <v/>
      </c>
      <c r="M5" s="17">
        <f>IF($E5="","",$E5*$L5)</f>
        <v/>
      </c>
      <c r="N5" s="17">
        <f>IF(OR($E5="",$F5=""),0,$M5*$G5)</f>
        <v/>
      </c>
      <c r="O5" s="17">
        <f>IF(OR($E5="",$H5=""),0,$M5*$I5)</f>
        <v/>
      </c>
      <c r="P5">
        <f>IF($J5="","",IF($J5-$B5&lt;='Plan setup'!$B$5,"Reversed","Outside window"))</f>
        <v/>
      </c>
      <c r="Q5" s="24">
        <f>IF($P5="Reversed",$J5,"")</f>
        <v/>
      </c>
      <c r="R5">
        <f>IF($E5="","",IF(ABS($G5+IF($I5="",0,$I5)-1)&gt;0.0001,"Splits must total 100%",IF(COUNTIF('Plan setup'!$A$25:$A$34,$F5)=0,"Rep 1 not in Plan setup",IF(IF($H5="",FALSE,COUNTIF('Plan setup'!$A$25:$A$34,$H5)=0),"Rep 2 not in Plan setup",IF(COUNTIF('Plan setup'!$A$17:$A$21,$D5)=0,"Unknown deal type",IF($P5="Outside window","Clawback outside window: not reversed","OK"))))))</f>
        <v/>
      </c>
      <c r="S5">
        <f>AND(ISNUMBER($B5),OR($F5=Statement!$C$3,$H5=Statement!$C$3),OR(AND($B5&gt;=Statement!$C$6,$B5&lt;=Statement!$C$7),AND(ISNUMBER($Q5),$Q5&gt;=Statement!$C$6,$Q5&lt;=Statement!$C$7)))</f>
        <v/>
      </c>
      <c r="T5">
        <f>IF($S5,COUNTIF($S$2:$S5,TRUE),"")</f>
        <v/>
      </c>
      <c r="U5" s="17">
        <f>IF($F5=Statement!$C$3,$N5,0)+IF($H5=Statement!$C$3,$O5,0)</f>
        <v/>
      </c>
      <c r="V5" s="17">
        <f>IF(NOT($S5),0,IF(AND($B5&gt;=Statement!$C$6,$B5&lt;=Statement!$C$7),$U5,0)-IF(ISNUMBER($Q5),IF(AND($Q5&gt;=Statement!$C$6,$Q5&lt;=Statement!$C$7),$U5,0),0))</f>
        <v/>
      </c>
      <c r="W5" s="23">
        <f>IF($F5=Statement!$C$3,$G5,0)+IF($H5=Statement!$C$3,IF($I5="",0,$I5),0)</f>
        <v/>
      </c>
      <c r="X5">
        <f>IF(NOT($S5),"",IF(ISNUMBER($Q5),IF(AND($Q5&gt;=Statement!$C$6,$Q5&lt;=Statement!$C$7),"Clawback: credit reversed",""),"")&amp;IF(AND($B5&gt;=Statement!$C$6,$B5&lt;=Statement!$C$7,N($L5)&lt;1),"Partial credit: "&amp;TEXT($L5,"0%"),""))</f>
        <v/>
      </c>
    </row>
    <row r="6">
      <c r="A6" s="19" t="inlineStr">
        <is>
          <t>D-1004</t>
        </is>
      </c>
      <c r="B6" s="20" t="n">
        <v>46071</v>
      </c>
      <c r="C6" s="19" t="inlineStr">
        <is>
          <t>Sample account 04</t>
        </is>
      </c>
      <c r="D6" s="19" t="inlineStr">
        <is>
          <t>New business</t>
        </is>
      </c>
      <c r="E6" s="21" t="n">
        <v>120000</v>
      </c>
      <c r="F6" s="19" t="inlineStr">
        <is>
          <t>Jordan Lee</t>
        </is>
      </c>
      <c r="G6" s="22" t="n">
        <v>1</v>
      </c>
      <c r="H6" s="19" t="n"/>
      <c r="I6" s="22" t="n"/>
      <c r="J6" s="20" t="n"/>
      <c r="K6" s="19" t="n"/>
      <c r="L6" s="23">
        <f>IF($E6="","",IFERROR(VLOOKUP($D6,'Plan setup'!$A$17:$B$21,2,FALSE),0))</f>
        <v/>
      </c>
      <c r="M6" s="17">
        <f>IF($E6="","",$E6*$L6)</f>
        <v/>
      </c>
      <c r="N6" s="17">
        <f>IF(OR($E6="",$F6=""),0,$M6*$G6)</f>
        <v/>
      </c>
      <c r="O6" s="17">
        <f>IF(OR($E6="",$H6=""),0,$M6*$I6)</f>
        <v/>
      </c>
      <c r="P6">
        <f>IF($J6="","",IF($J6-$B6&lt;='Plan setup'!$B$5,"Reversed","Outside window"))</f>
        <v/>
      </c>
      <c r="Q6" s="24">
        <f>IF($P6="Reversed",$J6,"")</f>
        <v/>
      </c>
      <c r="R6">
        <f>IF($E6="","",IF(ABS($G6+IF($I6="",0,$I6)-1)&gt;0.0001,"Splits must total 100%",IF(COUNTIF('Plan setup'!$A$25:$A$34,$F6)=0,"Rep 1 not in Plan setup",IF(IF($H6="",FALSE,COUNTIF('Plan setup'!$A$25:$A$34,$H6)=0),"Rep 2 not in Plan setup",IF(COUNTIF('Plan setup'!$A$17:$A$21,$D6)=0,"Unknown deal type",IF($P6="Outside window","Clawback outside window: not reversed","OK"))))))</f>
        <v/>
      </c>
      <c r="S6">
        <f>AND(ISNUMBER($B6),OR($F6=Statement!$C$3,$H6=Statement!$C$3),OR(AND($B6&gt;=Statement!$C$6,$B6&lt;=Statement!$C$7),AND(ISNUMBER($Q6),$Q6&gt;=Statement!$C$6,$Q6&lt;=Statement!$C$7)))</f>
        <v/>
      </c>
      <c r="T6">
        <f>IF($S6,COUNTIF($S$2:$S6,TRUE),"")</f>
        <v/>
      </c>
      <c r="U6" s="17">
        <f>IF($F6=Statement!$C$3,$N6,0)+IF($H6=Statement!$C$3,$O6,0)</f>
        <v/>
      </c>
      <c r="V6" s="17">
        <f>IF(NOT($S6),0,IF(AND($B6&gt;=Statement!$C$6,$B6&lt;=Statement!$C$7),$U6,0)-IF(ISNUMBER($Q6),IF(AND($Q6&gt;=Statement!$C$6,$Q6&lt;=Statement!$C$7),$U6,0),0))</f>
        <v/>
      </c>
      <c r="W6" s="23">
        <f>IF($F6=Statement!$C$3,$G6,0)+IF($H6=Statement!$C$3,IF($I6="",0,$I6),0)</f>
        <v/>
      </c>
      <c r="X6">
        <f>IF(NOT($S6),"",IF(ISNUMBER($Q6),IF(AND($Q6&gt;=Statement!$C$6,$Q6&lt;=Statement!$C$7),"Clawback: credit reversed",""),"")&amp;IF(AND($B6&gt;=Statement!$C$6,$B6&lt;=Statement!$C$7,N($L6)&lt;1),"Partial credit: "&amp;TEXT($L6,"0%"),""))</f>
        <v/>
      </c>
    </row>
    <row r="7">
      <c r="A7" s="19" t="inlineStr">
        <is>
          <t>D-1006</t>
        </is>
      </c>
      <c r="B7" s="20" t="n">
        <v>46079</v>
      </c>
      <c r="C7" s="19" t="inlineStr">
        <is>
          <t>Sample account 06</t>
        </is>
      </c>
      <c r="D7" s="19" t="inlineStr">
        <is>
          <t>New business</t>
        </is>
      </c>
      <c r="E7" s="21" t="n">
        <v>95000</v>
      </c>
      <c r="F7" s="19" t="inlineStr">
        <is>
          <t>Priya Shah</t>
        </is>
      </c>
      <c r="G7" s="22" t="n">
        <v>1</v>
      </c>
      <c r="H7" s="19" t="n"/>
      <c r="I7" s="22" t="n"/>
      <c r="J7" s="20" t="n"/>
      <c r="K7" s="19" t="n"/>
      <c r="L7" s="23">
        <f>IF($E7="","",IFERROR(VLOOKUP($D7,'Plan setup'!$A$17:$B$21,2,FALSE),0))</f>
        <v/>
      </c>
      <c r="M7" s="17">
        <f>IF($E7="","",$E7*$L7)</f>
        <v/>
      </c>
      <c r="N7" s="17">
        <f>IF(OR($E7="",$F7=""),0,$M7*$G7)</f>
        <v/>
      </c>
      <c r="O7" s="17">
        <f>IF(OR($E7="",$H7=""),0,$M7*$I7)</f>
        <v/>
      </c>
      <c r="P7">
        <f>IF($J7="","",IF($J7-$B7&lt;='Plan setup'!$B$5,"Reversed","Outside window"))</f>
        <v/>
      </c>
      <c r="Q7" s="24">
        <f>IF($P7="Reversed",$J7,"")</f>
        <v/>
      </c>
      <c r="R7">
        <f>IF($E7="","",IF(ABS($G7+IF($I7="",0,$I7)-1)&gt;0.0001,"Splits must total 100%",IF(COUNTIF('Plan setup'!$A$25:$A$34,$F7)=0,"Rep 1 not in Plan setup",IF(IF($H7="",FALSE,COUNTIF('Plan setup'!$A$25:$A$34,$H7)=0),"Rep 2 not in Plan setup",IF(COUNTIF('Plan setup'!$A$17:$A$21,$D7)=0,"Unknown deal type",IF($P7="Outside window","Clawback outside window: not reversed","OK"))))))</f>
        <v/>
      </c>
      <c r="S7">
        <f>AND(ISNUMBER($B7),OR($F7=Statement!$C$3,$H7=Statement!$C$3),OR(AND($B7&gt;=Statement!$C$6,$B7&lt;=Statement!$C$7),AND(ISNUMBER($Q7),$Q7&gt;=Statement!$C$6,$Q7&lt;=Statement!$C$7)))</f>
        <v/>
      </c>
      <c r="T7">
        <f>IF($S7,COUNTIF($S$2:$S7,TRUE),"")</f>
        <v/>
      </c>
      <c r="U7" s="17">
        <f>IF($F7=Statement!$C$3,$N7,0)+IF($H7=Statement!$C$3,$O7,0)</f>
        <v/>
      </c>
      <c r="V7" s="17">
        <f>IF(NOT($S7),0,IF(AND($B7&gt;=Statement!$C$6,$B7&lt;=Statement!$C$7),$U7,0)-IF(ISNUMBER($Q7),IF(AND($Q7&gt;=Statement!$C$6,$Q7&lt;=Statement!$C$7),$U7,0),0))</f>
        <v/>
      </c>
      <c r="W7" s="23">
        <f>IF($F7=Statement!$C$3,$G7,0)+IF($H7=Statement!$C$3,IF($I7="",0,$I7),0)</f>
        <v/>
      </c>
      <c r="X7">
        <f>IF(NOT($S7),"",IF(ISNUMBER($Q7),IF(AND($Q7&gt;=Statement!$C$6,$Q7&lt;=Statement!$C$7),"Clawback: credit reversed",""),"")&amp;IF(AND($B7&gt;=Statement!$C$6,$B7&lt;=Statement!$C$7,N($L7)&lt;1),"Partial credit: "&amp;TEXT($L7,"0%"),""))</f>
        <v/>
      </c>
    </row>
    <row r="8">
      <c r="A8" s="19" t="inlineStr">
        <is>
          <t>D-1007</t>
        </is>
      </c>
      <c r="B8" s="20" t="n">
        <v>46093</v>
      </c>
      <c r="C8" s="19" t="inlineStr">
        <is>
          <t>Sample account 07</t>
        </is>
      </c>
      <c r="D8" s="19" t="inlineStr">
        <is>
          <t>Expansion</t>
        </is>
      </c>
      <c r="E8" s="21" t="n">
        <v>65000</v>
      </c>
      <c r="F8" s="19" t="inlineStr">
        <is>
          <t>Elena Ruiz</t>
        </is>
      </c>
      <c r="G8" s="22" t="n">
        <v>1</v>
      </c>
      <c r="H8" s="19" t="n"/>
      <c r="I8" s="22" t="n"/>
      <c r="J8" s="20" t="n"/>
      <c r="K8" s="19" t="n"/>
      <c r="L8" s="23">
        <f>IF($E8="","",IFERROR(VLOOKUP($D8,'Plan setup'!$A$17:$B$21,2,FALSE),0))</f>
        <v/>
      </c>
      <c r="M8" s="17">
        <f>IF($E8="","",$E8*$L8)</f>
        <v/>
      </c>
      <c r="N8" s="17">
        <f>IF(OR($E8="",$F8=""),0,$M8*$G8)</f>
        <v/>
      </c>
      <c r="O8" s="17">
        <f>IF(OR($E8="",$H8=""),0,$M8*$I8)</f>
        <v/>
      </c>
      <c r="P8">
        <f>IF($J8="","",IF($J8-$B8&lt;='Plan setup'!$B$5,"Reversed","Outside window"))</f>
        <v/>
      </c>
      <c r="Q8" s="24">
        <f>IF($P8="Reversed",$J8,"")</f>
        <v/>
      </c>
      <c r="R8">
        <f>IF($E8="","",IF(ABS($G8+IF($I8="",0,$I8)-1)&gt;0.0001,"Splits must total 100%",IF(COUNTIF('Plan setup'!$A$25:$A$34,$F8)=0,"Rep 1 not in Plan setup",IF(IF($H8="",FALSE,COUNTIF('Plan setup'!$A$25:$A$34,$H8)=0),"Rep 2 not in Plan setup",IF(COUNTIF('Plan setup'!$A$17:$A$21,$D8)=0,"Unknown deal type",IF($P8="Outside window","Clawback outside window: not reversed","OK"))))))</f>
        <v/>
      </c>
      <c r="S8">
        <f>AND(ISNUMBER($B8),OR($F8=Statement!$C$3,$H8=Statement!$C$3),OR(AND($B8&gt;=Statement!$C$6,$B8&lt;=Statement!$C$7),AND(ISNUMBER($Q8),$Q8&gt;=Statement!$C$6,$Q8&lt;=Statement!$C$7)))</f>
        <v/>
      </c>
      <c r="T8">
        <f>IF($S8,COUNTIF($S$2:$S8,TRUE),"")</f>
        <v/>
      </c>
      <c r="U8" s="17">
        <f>IF($F8=Statement!$C$3,$N8,0)+IF($H8=Statement!$C$3,$O8,0)</f>
        <v/>
      </c>
      <c r="V8" s="17">
        <f>IF(NOT($S8),0,IF(AND($B8&gt;=Statement!$C$6,$B8&lt;=Statement!$C$7),$U8,0)-IF(ISNUMBER($Q8),IF(AND($Q8&gt;=Statement!$C$6,$Q8&lt;=Statement!$C$7),$U8,0),0))</f>
        <v/>
      </c>
      <c r="W8" s="23">
        <f>IF($F8=Statement!$C$3,$G8,0)+IF($H8=Statement!$C$3,IF($I8="",0,$I8),0)</f>
        <v/>
      </c>
      <c r="X8">
        <f>IF(NOT($S8),"",IF(ISNUMBER($Q8),IF(AND($Q8&gt;=Statement!$C$6,$Q8&lt;=Statement!$C$7),"Clawback: credit reversed",""),"")&amp;IF(AND($B8&gt;=Statement!$C$6,$B8&lt;=Statement!$C$7,N($L8)&lt;1),"Partial credit: "&amp;TEXT($L8,"0%"),""))</f>
        <v/>
      </c>
    </row>
    <row r="9">
      <c r="A9" s="19" t="inlineStr">
        <is>
          <t>D-1008</t>
        </is>
      </c>
      <c r="B9" s="20" t="n">
        <v>46108</v>
      </c>
      <c r="C9" s="19" t="inlineStr">
        <is>
          <t>Sample account 08</t>
        </is>
      </c>
      <c r="D9" s="19" t="inlineStr">
        <is>
          <t>New business</t>
        </is>
      </c>
      <c r="E9" s="21" t="n">
        <v>150000</v>
      </c>
      <c r="F9" s="19" t="inlineStr">
        <is>
          <t>Jordan Lee</t>
        </is>
      </c>
      <c r="G9" s="22" t="n">
        <v>0.6</v>
      </c>
      <c r="H9" s="19" t="inlineStr">
        <is>
          <t>Priya Shah</t>
        </is>
      </c>
      <c r="I9" s="22" t="n">
        <v>0.4</v>
      </c>
      <c r="J9" s="20" t="n"/>
      <c r="K9" s="19" t="inlineStr">
        <is>
          <t>Split 60/40 per the split rules</t>
        </is>
      </c>
      <c r="L9" s="23">
        <f>IF($E9="","",IFERROR(VLOOKUP($D9,'Plan setup'!$A$17:$B$21,2,FALSE),0))</f>
        <v/>
      </c>
      <c r="M9" s="17">
        <f>IF($E9="","",$E9*$L9)</f>
        <v/>
      </c>
      <c r="N9" s="17">
        <f>IF(OR($E9="",$F9=""),0,$M9*$G9)</f>
        <v/>
      </c>
      <c r="O9" s="17">
        <f>IF(OR($E9="",$H9=""),0,$M9*$I9)</f>
        <v/>
      </c>
      <c r="P9">
        <f>IF($J9="","",IF($J9-$B9&lt;='Plan setup'!$B$5,"Reversed","Outside window"))</f>
        <v/>
      </c>
      <c r="Q9" s="24">
        <f>IF($P9="Reversed",$J9,"")</f>
        <v/>
      </c>
      <c r="R9">
        <f>IF($E9="","",IF(ABS($G9+IF($I9="",0,$I9)-1)&gt;0.0001,"Splits must total 100%",IF(COUNTIF('Plan setup'!$A$25:$A$34,$F9)=0,"Rep 1 not in Plan setup",IF(IF($H9="",FALSE,COUNTIF('Plan setup'!$A$25:$A$34,$H9)=0),"Rep 2 not in Plan setup",IF(COUNTIF('Plan setup'!$A$17:$A$21,$D9)=0,"Unknown deal type",IF($P9="Outside window","Clawback outside window: not reversed","OK"))))))</f>
        <v/>
      </c>
      <c r="S9">
        <f>AND(ISNUMBER($B9),OR($F9=Statement!$C$3,$H9=Statement!$C$3),OR(AND($B9&gt;=Statement!$C$6,$B9&lt;=Statement!$C$7),AND(ISNUMBER($Q9),$Q9&gt;=Statement!$C$6,$Q9&lt;=Statement!$C$7)))</f>
        <v/>
      </c>
      <c r="T9">
        <f>IF($S9,COUNTIF($S$2:$S9,TRUE),"")</f>
        <v/>
      </c>
      <c r="U9" s="17">
        <f>IF($F9=Statement!$C$3,$N9,0)+IF($H9=Statement!$C$3,$O9,0)</f>
        <v/>
      </c>
      <c r="V9" s="17">
        <f>IF(NOT($S9),0,IF(AND($B9&gt;=Statement!$C$6,$B9&lt;=Statement!$C$7),$U9,0)-IF(ISNUMBER($Q9),IF(AND($Q9&gt;=Statement!$C$6,$Q9&lt;=Statement!$C$7),$U9,0),0))</f>
        <v/>
      </c>
      <c r="W9" s="23">
        <f>IF($F9=Statement!$C$3,$G9,0)+IF($H9=Statement!$C$3,IF($I9="",0,$I9),0)</f>
        <v/>
      </c>
      <c r="X9">
        <f>IF(NOT($S9),"",IF(ISNUMBER($Q9),IF(AND($Q9&gt;=Statement!$C$6,$Q9&lt;=Statement!$C$7),"Clawback: credit reversed",""),"")&amp;IF(AND($B9&gt;=Statement!$C$6,$B9&lt;=Statement!$C$7,N($L9)&lt;1),"Partial credit: "&amp;TEXT($L9,"0%"),""))</f>
        <v/>
      </c>
    </row>
    <row r="10">
      <c r="A10" s="19" t="inlineStr">
        <is>
          <t>D-1009</t>
        </is>
      </c>
      <c r="B10" s="20" t="n">
        <v>46112</v>
      </c>
      <c r="C10" s="19" t="inlineStr">
        <is>
          <t>Sample account 09</t>
        </is>
      </c>
      <c r="D10" s="19" t="inlineStr">
        <is>
          <t>New business</t>
        </is>
      </c>
      <c r="E10" s="21" t="n">
        <v>340000</v>
      </c>
      <c r="F10" s="19" t="inlineStr">
        <is>
          <t>Marcus Bell</t>
        </is>
      </c>
      <c r="G10" s="22" t="n">
        <v>1</v>
      </c>
      <c r="H10" s="19" t="n"/>
      <c r="I10" s="22" t="n"/>
      <c r="J10" s="20" t="n"/>
      <c r="K10" s="19" t="n"/>
      <c r="L10" s="23">
        <f>IF($E10="","",IFERROR(VLOOKUP($D10,'Plan setup'!$A$17:$B$21,2,FALSE),0))</f>
        <v/>
      </c>
      <c r="M10" s="17">
        <f>IF($E10="","",$E10*$L10)</f>
        <v/>
      </c>
      <c r="N10" s="17">
        <f>IF(OR($E10="",$F10=""),0,$M10*$G10)</f>
        <v/>
      </c>
      <c r="O10" s="17">
        <f>IF(OR($E10="",$H10=""),0,$M10*$I10)</f>
        <v/>
      </c>
      <c r="P10">
        <f>IF($J10="","",IF($J10-$B10&lt;='Plan setup'!$B$5,"Reversed","Outside window"))</f>
        <v/>
      </c>
      <c r="Q10" s="24">
        <f>IF($P10="Reversed",$J10,"")</f>
        <v/>
      </c>
      <c r="R10">
        <f>IF($E10="","",IF(ABS($G10+IF($I10="",0,$I10)-1)&gt;0.0001,"Splits must total 100%",IF(COUNTIF('Plan setup'!$A$25:$A$34,$F10)=0,"Rep 1 not in Plan setup",IF(IF($H10="",FALSE,COUNTIF('Plan setup'!$A$25:$A$34,$H10)=0),"Rep 2 not in Plan setup",IF(COUNTIF('Plan setup'!$A$17:$A$21,$D10)=0,"Unknown deal type",IF($P10="Outside window","Clawback outside window: not reversed","OK"))))))</f>
        <v/>
      </c>
      <c r="S10">
        <f>AND(ISNUMBER($B10),OR($F10=Statement!$C$3,$H10=Statement!$C$3),OR(AND($B10&gt;=Statement!$C$6,$B10&lt;=Statement!$C$7),AND(ISNUMBER($Q10),$Q10&gt;=Statement!$C$6,$Q10&lt;=Statement!$C$7)))</f>
        <v/>
      </c>
      <c r="T10">
        <f>IF($S10,COUNTIF($S$2:$S10,TRUE),"")</f>
        <v/>
      </c>
      <c r="U10" s="17">
        <f>IF($F10=Statement!$C$3,$N10,0)+IF($H10=Statement!$C$3,$O10,0)</f>
        <v/>
      </c>
      <c r="V10" s="17">
        <f>IF(NOT($S10),0,IF(AND($B10&gt;=Statement!$C$6,$B10&lt;=Statement!$C$7),$U10,0)-IF(ISNUMBER($Q10),IF(AND($Q10&gt;=Statement!$C$6,$Q10&lt;=Statement!$C$7),$U10,0),0))</f>
        <v/>
      </c>
      <c r="W10" s="23">
        <f>IF($F10=Statement!$C$3,$G10,0)+IF($H10=Statement!$C$3,IF($I10="",0,$I10),0)</f>
        <v/>
      </c>
      <c r="X10">
        <f>IF(NOT($S10),"",IF(ISNUMBER($Q10),IF(AND($Q10&gt;=Statement!$C$6,$Q10&lt;=Statement!$C$7),"Clawback: credit reversed",""),"")&amp;IF(AND($B10&gt;=Statement!$C$6,$B10&lt;=Statement!$C$7,N($L10)&lt;1),"Partial credit: "&amp;TEXT($L10,"0%"),""))</f>
        <v/>
      </c>
    </row>
    <row r="11">
      <c r="A11" s="19" t="inlineStr">
        <is>
          <t>D-1010</t>
        </is>
      </c>
      <c r="B11" s="20" t="n">
        <v>46120</v>
      </c>
      <c r="C11" s="19" t="inlineStr">
        <is>
          <t>Sample account 10</t>
        </is>
      </c>
      <c r="D11" s="19" t="inlineStr">
        <is>
          <t>New business</t>
        </is>
      </c>
      <c r="E11" s="21" t="n">
        <v>110000</v>
      </c>
      <c r="F11" s="19" t="inlineStr">
        <is>
          <t>Priya Shah</t>
        </is>
      </c>
      <c r="G11" s="22" t="n">
        <v>1</v>
      </c>
      <c r="H11" s="19" t="n"/>
      <c r="I11" s="22" t="n"/>
      <c r="J11" s="20" t="n"/>
      <c r="K11" s="19" t="n"/>
      <c r="L11" s="23">
        <f>IF($E11="","",IFERROR(VLOOKUP($D11,'Plan setup'!$A$17:$B$21,2,FALSE),0))</f>
        <v/>
      </c>
      <c r="M11" s="17">
        <f>IF($E11="","",$E11*$L11)</f>
        <v/>
      </c>
      <c r="N11" s="17">
        <f>IF(OR($E11="",$F11=""),0,$M11*$G11)</f>
        <v/>
      </c>
      <c r="O11" s="17">
        <f>IF(OR($E11="",$H11=""),0,$M11*$I11)</f>
        <v/>
      </c>
      <c r="P11">
        <f>IF($J11="","",IF($J11-$B11&lt;='Plan setup'!$B$5,"Reversed","Outside window"))</f>
        <v/>
      </c>
      <c r="Q11" s="24">
        <f>IF($P11="Reversed",$J11,"")</f>
        <v/>
      </c>
      <c r="R11">
        <f>IF($E11="","",IF(ABS($G11+IF($I11="",0,$I11)-1)&gt;0.0001,"Splits must total 100%",IF(COUNTIF('Plan setup'!$A$25:$A$34,$F11)=0,"Rep 1 not in Plan setup",IF(IF($H11="",FALSE,COUNTIF('Plan setup'!$A$25:$A$34,$H11)=0),"Rep 2 not in Plan setup",IF(COUNTIF('Plan setup'!$A$17:$A$21,$D11)=0,"Unknown deal type",IF($P11="Outside window","Clawback outside window: not reversed","OK"))))))</f>
        <v/>
      </c>
      <c r="S11">
        <f>AND(ISNUMBER($B11),OR($F11=Statement!$C$3,$H11=Statement!$C$3),OR(AND($B11&gt;=Statement!$C$6,$B11&lt;=Statement!$C$7),AND(ISNUMBER($Q11),$Q11&gt;=Statement!$C$6,$Q11&lt;=Statement!$C$7)))</f>
        <v/>
      </c>
      <c r="T11">
        <f>IF($S11,COUNTIF($S$2:$S11,TRUE),"")</f>
        <v/>
      </c>
      <c r="U11" s="17">
        <f>IF($F11=Statement!$C$3,$N11,0)+IF($H11=Statement!$C$3,$O11,0)</f>
        <v/>
      </c>
      <c r="V11" s="17">
        <f>IF(NOT($S11),0,IF(AND($B11&gt;=Statement!$C$6,$B11&lt;=Statement!$C$7),$U11,0)-IF(ISNUMBER($Q11),IF(AND($Q11&gt;=Statement!$C$6,$Q11&lt;=Statement!$C$7),$U11,0),0))</f>
        <v/>
      </c>
      <c r="W11" s="23">
        <f>IF($F11=Statement!$C$3,$G11,0)+IF($H11=Statement!$C$3,IF($I11="",0,$I11),0)</f>
        <v/>
      </c>
      <c r="X11">
        <f>IF(NOT($S11),"",IF(ISNUMBER($Q11),IF(AND($Q11&gt;=Statement!$C$6,$Q11&lt;=Statement!$C$7),"Clawback: credit reversed",""),"")&amp;IF(AND($B11&gt;=Statement!$C$6,$B11&lt;=Statement!$C$7,N($L11)&lt;1),"Partial credit: "&amp;TEXT($L11,"0%"),""))</f>
        <v/>
      </c>
    </row>
    <row r="12">
      <c r="A12" s="19" t="inlineStr">
        <is>
          <t>D-1012</t>
        </is>
      </c>
      <c r="B12" s="20" t="n">
        <v>46127</v>
      </c>
      <c r="C12" s="19" t="inlineStr">
        <is>
          <t>Sample account 12</t>
        </is>
      </c>
      <c r="D12" s="19" t="inlineStr">
        <is>
          <t>Expansion</t>
        </is>
      </c>
      <c r="E12" s="21" t="n">
        <v>70000</v>
      </c>
      <c r="F12" s="19" t="inlineStr">
        <is>
          <t>Jordan Lee</t>
        </is>
      </c>
      <c r="G12" s="22" t="n">
        <v>1</v>
      </c>
      <c r="H12" s="19" t="n"/>
      <c r="I12" s="22" t="n"/>
      <c r="J12" s="20" t="n"/>
      <c r="K12" s="19" t="n"/>
      <c r="L12" s="23">
        <f>IF($E12="","",IFERROR(VLOOKUP($D12,'Plan setup'!$A$17:$B$21,2,FALSE),0))</f>
        <v/>
      </c>
      <c r="M12" s="17">
        <f>IF($E12="","",$E12*$L12)</f>
        <v/>
      </c>
      <c r="N12" s="17">
        <f>IF(OR($E12="",$F12=""),0,$M12*$G12)</f>
        <v/>
      </c>
      <c r="O12" s="17">
        <f>IF(OR($E12="",$H12=""),0,$M12*$I12)</f>
        <v/>
      </c>
      <c r="P12">
        <f>IF($J12="","",IF($J12-$B12&lt;='Plan setup'!$B$5,"Reversed","Outside window"))</f>
        <v/>
      </c>
      <c r="Q12" s="24">
        <f>IF($P12="Reversed",$J12,"")</f>
        <v/>
      </c>
      <c r="R12">
        <f>IF($E12="","",IF(ABS($G12+IF($I12="",0,$I12)-1)&gt;0.0001,"Splits must total 100%",IF(COUNTIF('Plan setup'!$A$25:$A$34,$F12)=0,"Rep 1 not in Plan setup",IF(IF($H12="",FALSE,COUNTIF('Plan setup'!$A$25:$A$34,$H12)=0),"Rep 2 not in Plan setup",IF(COUNTIF('Plan setup'!$A$17:$A$21,$D12)=0,"Unknown deal type",IF($P12="Outside window","Clawback outside window: not reversed","OK"))))))</f>
        <v/>
      </c>
      <c r="S12">
        <f>AND(ISNUMBER($B12),OR($F12=Statement!$C$3,$H12=Statement!$C$3),OR(AND($B12&gt;=Statement!$C$6,$B12&lt;=Statement!$C$7),AND(ISNUMBER($Q12),$Q12&gt;=Statement!$C$6,$Q12&lt;=Statement!$C$7)))</f>
        <v/>
      </c>
      <c r="T12">
        <f>IF($S12,COUNTIF($S$2:$S12,TRUE),"")</f>
        <v/>
      </c>
      <c r="U12" s="17">
        <f>IF($F12=Statement!$C$3,$N12,0)+IF($H12=Statement!$C$3,$O12,0)</f>
        <v/>
      </c>
      <c r="V12" s="17">
        <f>IF(NOT($S12),0,IF(AND($B12&gt;=Statement!$C$6,$B12&lt;=Statement!$C$7),$U12,0)-IF(ISNUMBER($Q12),IF(AND($Q12&gt;=Statement!$C$6,$Q12&lt;=Statement!$C$7),$U12,0),0))</f>
        <v/>
      </c>
      <c r="W12" s="23">
        <f>IF($F12=Statement!$C$3,$G12,0)+IF($H12=Statement!$C$3,IF($I12="",0,$I12),0)</f>
        <v/>
      </c>
      <c r="X12">
        <f>IF(NOT($S12),"",IF(ISNUMBER($Q12),IF(AND($Q12&gt;=Statement!$C$6,$Q12&lt;=Statement!$C$7),"Clawback: credit reversed",""),"")&amp;IF(AND($B12&gt;=Statement!$C$6,$B12&lt;=Statement!$C$7,N($L12)&lt;1),"Partial credit: "&amp;TEXT($L12,"0%"),""))</f>
        <v/>
      </c>
    </row>
    <row r="13">
      <c r="A13" s="19" t="inlineStr">
        <is>
          <t>D-1011</t>
        </is>
      </c>
      <c r="B13" s="20" t="n">
        <v>46134</v>
      </c>
      <c r="C13" s="19" t="inlineStr">
        <is>
          <t>Sample account 11</t>
        </is>
      </c>
      <c r="D13" s="19" t="inlineStr">
        <is>
          <t>Renewal</t>
        </is>
      </c>
      <c r="E13" s="21" t="n">
        <v>180000</v>
      </c>
      <c r="F13" s="19" t="inlineStr">
        <is>
          <t>Elena Ruiz</t>
        </is>
      </c>
      <c r="G13" s="22" t="n">
        <v>1</v>
      </c>
      <c r="H13" s="19" t="n"/>
      <c r="I13" s="22" t="n"/>
      <c r="J13" s="20" t="n"/>
      <c r="K13" s="19" t="n"/>
      <c r="L13" s="23">
        <f>IF($E13="","",IFERROR(VLOOKUP($D13,'Plan setup'!$A$17:$B$21,2,FALSE),0))</f>
        <v/>
      </c>
      <c r="M13" s="17">
        <f>IF($E13="","",$E13*$L13)</f>
        <v/>
      </c>
      <c r="N13" s="17">
        <f>IF(OR($E13="",$F13=""),0,$M13*$G13)</f>
        <v/>
      </c>
      <c r="O13" s="17">
        <f>IF(OR($E13="",$H13=""),0,$M13*$I13)</f>
        <v/>
      </c>
      <c r="P13">
        <f>IF($J13="","",IF($J13-$B13&lt;='Plan setup'!$B$5,"Reversed","Outside window"))</f>
        <v/>
      </c>
      <c r="Q13" s="24">
        <f>IF($P13="Reversed",$J13,"")</f>
        <v/>
      </c>
      <c r="R13">
        <f>IF($E13="","",IF(ABS($G13+IF($I13="",0,$I13)-1)&gt;0.0001,"Splits must total 100%",IF(COUNTIF('Plan setup'!$A$25:$A$34,$F13)=0,"Rep 1 not in Plan setup",IF(IF($H13="",FALSE,COUNTIF('Plan setup'!$A$25:$A$34,$H13)=0),"Rep 2 not in Plan setup",IF(COUNTIF('Plan setup'!$A$17:$A$21,$D13)=0,"Unknown deal type",IF($P13="Outside window","Clawback outside window: not reversed","OK"))))))</f>
        <v/>
      </c>
      <c r="S13">
        <f>AND(ISNUMBER($B13),OR($F13=Statement!$C$3,$H13=Statement!$C$3),OR(AND($B13&gt;=Statement!$C$6,$B13&lt;=Statement!$C$7),AND(ISNUMBER($Q13),$Q13&gt;=Statement!$C$6,$Q13&lt;=Statement!$C$7)))</f>
        <v/>
      </c>
      <c r="T13">
        <f>IF($S13,COUNTIF($S$2:$S13,TRUE),"")</f>
        <v/>
      </c>
      <c r="U13" s="17">
        <f>IF($F13=Statement!$C$3,$N13,0)+IF($H13=Statement!$C$3,$O13,0)</f>
        <v/>
      </c>
      <c r="V13" s="17">
        <f>IF(NOT($S13),0,IF(AND($B13&gt;=Statement!$C$6,$B13&lt;=Statement!$C$7),$U13,0)-IF(ISNUMBER($Q13),IF(AND($Q13&gt;=Statement!$C$6,$Q13&lt;=Statement!$C$7),$U13,0),0))</f>
        <v/>
      </c>
      <c r="W13" s="23">
        <f>IF($F13=Statement!$C$3,$G13,0)+IF($H13=Statement!$C$3,IF($I13="",0,$I13),0)</f>
        <v/>
      </c>
      <c r="X13">
        <f>IF(NOT($S13),"",IF(ISNUMBER($Q13),IF(AND($Q13&gt;=Statement!$C$6,$Q13&lt;=Statement!$C$7),"Clawback: credit reversed",""),"")&amp;IF(AND($B13&gt;=Statement!$C$6,$B13&lt;=Statement!$C$7,N($L13)&lt;1),"Partial credit: "&amp;TEXT($L13,"0%"),""))</f>
        <v/>
      </c>
    </row>
    <row r="14">
      <c r="A14" s="19" t="inlineStr">
        <is>
          <t>D-1013</t>
        </is>
      </c>
      <c r="B14" s="20" t="n">
        <v>46142</v>
      </c>
      <c r="C14" s="19" t="inlineStr">
        <is>
          <t>Sample account 13</t>
        </is>
      </c>
      <c r="D14" s="19" t="inlineStr">
        <is>
          <t>Expansion</t>
        </is>
      </c>
      <c r="E14" s="21" t="n">
        <v>160000</v>
      </c>
      <c r="F14" s="19" t="inlineStr">
        <is>
          <t>Marcus Bell</t>
        </is>
      </c>
      <c r="G14" s="22" t="n">
        <v>0.5</v>
      </c>
      <c r="H14" s="19" t="inlineStr">
        <is>
          <t>Elena Ruiz</t>
        </is>
      </c>
      <c r="I14" s="22" t="n">
        <v>0.5</v>
      </c>
      <c r="J14" s="20" t="n"/>
      <c r="K14" s="19" t="inlineStr">
        <is>
          <t>AE and AM split on expansion</t>
        </is>
      </c>
      <c r="L14" s="23">
        <f>IF($E14="","",IFERROR(VLOOKUP($D14,'Plan setup'!$A$17:$B$21,2,FALSE),0))</f>
        <v/>
      </c>
      <c r="M14" s="17">
        <f>IF($E14="","",$E14*$L14)</f>
        <v/>
      </c>
      <c r="N14" s="17">
        <f>IF(OR($E14="",$F14=""),0,$M14*$G14)</f>
        <v/>
      </c>
      <c r="O14" s="17">
        <f>IF(OR($E14="",$H14=""),0,$M14*$I14)</f>
        <v/>
      </c>
      <c r="P14">
        <f>IF($J14="","",IF($J14-$B14&lt;='Plan setup'!$B$5,"Reversed","Outside window"))</f>
        <v/>
      </c>
      <c r="Q14" s="24">
        <f>IF($P14="Reversed",$J14,"")</f>
        <v/>
      </c>
      <c r="R14">
        <f>IF($E14="","",IF(ABS($G14+IF($I14="",0,$I14)-1)&gt;0.0001,"Splits must total 100%",IF(COUNTIF('Plan setup'!$A$25:$A$34,$F14)=0,"Rep 1 not in Plan setup",IF(IF($H14="",FALSE,COUNTIF('Plan setup'!$A$25:$A$34,$H14)=0),"Rep 2 not in Plan setup",IF(COUNTIF('Plan setup'!$A$17:$A$21,$D14)=0,"Unknown deal type",IF($P14="Outside window","Clawback outside window: not reversed","OK"))))))</f>
        <v/>
      </c>
      <c r="S14">
        <f>AND(ISNUMBER($B14),OR($F14=Statement!$C$3,$H14=Statement!$C$3),OR(AND($B14&gt;=Statement!$C$6,$B14&lt;=Statement!$C$7),AND(ISNUMBER($Q14),$Q14&gt;=Statement!$C$6,$Q14&lt;=Statement!$C$7)))</f>
        <v/>
      </c>
      <c r="T14">
        <f>IF($S14,COUNTIF($S$2:$S14,TRUE),"")</f>
        <v/>
      </c>
      <c r="U14" s="17">
        <f>IF($F14=Statement!$C$3,$N14,0)+IF($H14=Statement!$C$3,$O14,0)</f>
        <v/>
      </c>
      <c r="V14" s="17">
        <f>IF(NOT($S14),0,IF(AND($B14&gt;=Statement!$C$6,$B14&lt;=Statement!$C$7),$U14,0)-IF(ISNUMBER($Q14),IF(AND($Q14&gt;=Statement!$C$6,$Q14&lt;=Statement!$C$7),$U14,0),0))</f>
        <v/>
      </c>
      <c r="W14" s="23">
        <f>IF($F14=Statement!$C$3,$G14,0)+IF($H14=Statement!$C$3,IF($I14="",0,$I14),0)</f>
        <v/>
      </c>
      <c r="X14">
        <f>IF(NOT($S14),"",IF(ISNUMBER($Q14),IF(AND($Q14&gt;=Statement!$C$6,$Q14&lt;=Statement!$C$7),"Clawback: credit reversed",""),"")&amp;IF(AND($B14&gt;=Statement!$C$6,$B14&lt;=Statement!$C$7,N($L14)&lt;1),"Partial credit: "&amp;TEXT($L14,"0%"),""))</f>
        <v/>
      </c>
    </row>
    <row r="15">
      <c r="A15" s="19" t="inlineStr">
        <is>
          <t>D-1014</t>
        </is>
      </c>
      <c r="B15" s="20" t="n">
        <v>46163</v>
      </c>
      <c r="C15" s="19" t="inlineStr">
        <is>
          <t>Sample account 14</t>
        </is>
      </c>
      <c r="D15" s="19" t="inlineStr">
        <is>
          <t>Expansion</t>
        </is>
      </c>
      <c r="E15" s="21" t="n">
        <v>45000</v>
      </c>
      <c r="F15" s="19" t="inlineStr">
        <is>
          <t>Priya Shah</t>
        </is>
      </c>
      <c r="G15" s="22" t="n">
        <v>1</v>
      </c>
      <c r="H15" s="19" t="n"/>
      <c r="I15" s="22" t="n"/>
      <c r="J15" s="20" t="n"/>
      <c r="K15" s="19" t="n"/>
      <c r="L15" s="23">
        <f>IF($E15="","",IFERROR(VLOOKUP($D15,'Plan setup'!$A$17:$B$21,2,FALSE),0))</f>
        <v/>
      </c>
      <c r="M15" s="17">
        <f>IF($E15="","",$E15*$L15)</f>
        <v/>
      </c>
      <c r="N15" s="17">
        <f>IF(OR($E15="",$F15=""),0,$M15*$G15)</f>
        <v/>
      </c>
      <c r="O15" s="17">
        <f>IF(OR($E15="",$H15=""),0,$M15*$I15)</f>
        <v/>
      </c>
      <c r="P15">
        <f>IF($J15="","",IF($J15-$B15&lt;='Plan setup'!$B$5,"Reversed","Outside window"))</f>
        <v/>
      </c>
      <c r="Q15" s="24">
        <f>IF($P15="Reversed",$J15,"")</f>
        <v/>
      </c>
      <c r="R15">
        <f>IF($E15="","",IF(ABS($G15+IF($I15="",0,$I15)-1)&gt;0.0001,"Splits must total 100%",IF(COUNTIF('Plan setup'!$A$25:$A$34,$F15)=0,"Rep 1 not in Plan setup",IF(IF($H15="",FALSE,COUNTIF('Plan setup'!$A$25:$A$34,$H15)=0),"Rep 2 not in Plan setup",IF(COUNTIF('Plan setup'!$A$17:$A$21,$D15)=0,"Unknown deal type",IF($P15="Outside window","Clawback outside window: not reversed","OK"))))))</f>
        <v/>
      </c>
      <c r="S15">
        <f>AND(ISNUMBER($B15),OR($F15=Statement!$C$3,$H15=Statement!$C$3),OR(AND($B15&gt;=Statement!$C$6,$B15&lt;=Statement!$C$7),AND(ISNUMBER($Q15),$Q15&gt;=Statement!$C$6,$Q15&lt;=Statement!$C$7)))</f>
        <v/>
      </c>
      <c r="T15">
        <f>IF($S15,COUNTIF($S$2:$S15,TRUE),"")</f>
        <v/>
      </c>
      <c r="U15" s="17">
        <f>IF($F15=Statement!$C$3,$N15,0)+IF($H15=Statement!$C$3,$O15,0)</f>
        <v/>
      </c>
      <c r="V15" s="17">
        <f>IF(NOT($S15),0,IF(AND($B15&gt;=Statement!$C$6,$B15&lt;=Statement!$C$7),$U15,0)-IF(ISNUMBER($Q15),IF(AND($Q15&gt;=Statement!$C$6,$Q15&lt;=Statement!$C$7),$U15,0),0))</f>
        <v/>
      </c>
      <c r="W15" s="23">
        <f>IF($F15=Statement!$C$3,$G15,0)+IF($H15=Statement!$C$3,IF($I15="",0,$I15),0)</f>
        <v/>
      </c>
      <c r="X15">
        <f>IF(NOT($S15),"",IF(ISNUMBER($Q15),IF(AND($Q15&gt;=Statement!$C$6,$Q15&lt;=Statement!$C$7),"Clawback: credit reversed",""),"")&amp;IF(AND($B15&gt;=Statement!$C$6,$B15&lt;=Statement!$C$7,N($L15)&lt;1),"Partial credit: "&amp;TEXT($L15,"0%"),""))</f>
        <v/>
      </c>
    </row>
    <row r="16">
      <c r="A16" s="19" t="inlineStr">
        <is>
          <t>D-1015</t>
        </is>
      </c>
      <c r="B16" s="20" t="n">
        <v>46171</v>
      </c>
      <c r="C16" s="19" t="inlineStr">
        <is>
          <t>Sample account 15</t>
        </is>
      </c>
      <c r="D16" s="19" t="inlineStr">
        <is>
          <t>New business</t>
        </is>
      </c>
      <c r="E16" s="21" t="n">
        <v>135000</v>
      </c>
      <c r="F16" s="19" t="inlineStr">
        <is>
          <t>Jordan Lee</t>
        </is>
      </c>
      <c r="G16" s="22" t="n">
        <v>1</v>
      </c>
      <c r="H16" s="19" t="n"/>
      <c r="I16" s="22" t="n"/>
      <c r="J16" s="20" t="n"/>
      <c r="K16" s="19" t="n"/>
      <c r="L16" s="23">
        <f>IF($E16="","",IFERROR(VLOOKUP($D16,'Plan setup'!$A$17:$B$21,2,FALSE),0))</f>
        <v/>
      </c>
      <c r="M16" s="17">
        <f>IF($E16="","",$E16*$L16)</f>
        <v/>
      </c>
      <c r="N16" s="17">
        <f>IF(OR($E16="",$F16=""),0,$M16*$G16)</f>
        <v/>
      </c>
      <c r="O16" s="17">
        <f>IF(OR($E16="",$H16=""),0,$M16*$I16)</f>
        <v/>
      </c>
      <c r="P16">
        <f>IF($J16="","",IF($J16-$B16&lt;='Plan setup'!$B$5,"Reversed","Outside window"))</f>
        <v/>
      </c>
      <c r="Q16" s="24">
        <f>IF($P16="Reversed",$J16,"")</f>
        <v/>
      </c>
      <c r="R16">
        <f>IF($E16="","",IF(ABS($G16+IF($I16="",0,$I16)-1)&gt;0.0001,"Splits must total 100%",IF(COUNTIF('Plan setup'!$A$25:$A$34,$F16)=0,"Rep 1 not in Plan setup",IF(IF($H16="",FALSE,COUNTIF('Plan setup'!$A$25:$A$34,$H16)=0),"Rep 2 not in Plan setup",IF(COUNTIF('Plan setup'!$A$17:$A$21,$D16)=0,"Unknown deal type",IF($P16="Outside window","Clawback outside window: not reversed","OK"))))))</f>
        <v/>
      </c>
      <c r="S16">
        <f>AND(ISNUMBER($B16),OR($F16=Statement!$C$3,$H16=Statement!$C$3),OR(AND($B16&gt;=Statement!$C$6,$B16&lt;=Statement!$C$7),AND(ISNUMBER($Q16),$Q16&gt;=Statement!$C$6,$Q16&lt;=Statement!$C$7)))</f>
        <v/>
      </c>
      <c r="T16">
        <f>IF($S16,COUNTIF($S$2:$S16,TRUE),"")</f>
        <v/>
      </c>
      <c r="U16" s="17">
        <f>IF($F16=Statement!$C$3,$N16,0)+IF($H16=Statement!$C$3,$O16,0)</f>
        <v/>
      </c>
      <c r="V16" s="17">
        <f>IF(NOT($S16),0,IF(AND($B16&gt;=Statement!$C$6,$B16&lt;=Statement!$C$7),$U16,0)-IF(ISNUMBER($Q16),IF(AND($Q16&gt;=Statement!$C$6,$Q16&lt;=Statement!$C$7),$U16,0),0))</f>
        <v/>
      </c>
      <c r="W16" s="23">
        <f>IF($F16=Statement!$C$3,$G16,0)+IF($H16=Statement!$C$3,IF($I16="",0,$I16),0)</f>
        <v/>
      </c>
      <c r="X16">
        <f>IF(NOT($S16),"",IF(ISNUMBER($Q16),IF(AND($Q16&gt;=Statement!$C$6,$Q16&lt;=Statement!$C$7),"Clawback: credit reversed",""),"")&amp;IF(AND($B16&gt;=Statement!$C$6,$B16&lt;=Statement!$C$7,N($L16)&lt;1),"Partial credit: "&amp;TEXT($L16,"0%"),""))</f>
        <v/>
      </c>
    </row>
    <row r="17">
      <c r="A17" s="19" t="inlineStr">
        <is>
          <t>D-1016</t>
        </is>
      </c>
      <c r="B17" s="20" t="n">
        <v>46176</v>
      </c>
      <c r="C17" s="19" t="inlineStr">
        <is>
          <t>Sample account 16</t>
        </is>
      </c>
      <c r="D17" s="19" t="inlineStr">
        <is>
          <t>Expansion</t>
        </is>
      </c>
      <c r="E17" s="21" t="n">
        <v>90000</v>
      </c>
      <c r="F17" s="19" t="inlineStr">
        <is>
          <t>Elena Ruiz</t>
        </is>
      </c>
      <c r="G17" s="22" t="n">
        <v>1</v>
      </c>
      <c r="H17" s="19" t="n"/>
      <c r="I17" s="22" t="n"/>
      <c r="J17" s="20" t="n"/>
      <c r="K17" s="19" t="n"/>
      <c r="L17" s="23">
        <f>IF($E17="","",IFERROR(VLOOKUP($D17,'Plan setup'!$A$17:$B$21,2,FALSE),0))</f>
        <v/>
      </c>
      <c r="M17" s="17">
        <f>IF($E17="","",$E17*$L17)</f>
        <v/>
      </c>
      <c r="N17" s="17">
        <f>IF(OR($E17="",$F17=""),0,$M17*$G17)</f>
        <v/>
      </c>
      <c r="O17" s="17">
        <f>IF(OR($E17="",$H17=""),0,$M17*$I17)</f>
        <v/>
      </c>
      <c r="P17">
        <f>IF($J17="","",IF($J17-$B17&lt;='Plan setup'!$B$5,"Reversed","Outside window"))</f>
        <v/>
      </c>
      <c r="Q17" s="24">
        <f>IF($P17="Reversed",$J17,"")</f>
        <v/>
      </c>
      <c r="R17">
        <f>IF($E17="","",IF(ABS($G17+IF($I17="",0,$I17)-1)&gt;0.0001,"Splits must total 100%",IF(COUNTIF('Plan setup'!$A$25:$A$34,$F17)=0,"Rep 1 not in Plan setup",IF(IF($H17="",FALSE,COUNTIF('Plan setup'!$A$25:$A$34,$H17)=0),"Rep 2 not in Plan setup",IF(COUNTIF('Plan setup'!$A$17:$A$21,$D17)=0,"Unknown deal type",IF($P17="Outside window","Clawback outside window: not reversed","OK"))))))</f>
        <v/>
      </c>
      <c r="S17">
        <f>AND(ISNUMBER($B17),OR($F17=Statement!$C$3,$H17=Statement!$C$3),OR(AND($B17&gt;=Statement!$C$6,$B17&lt;=Statement!$C$7),AND(ISNUMBER($Q17),$Q17&gt;=Statement!$C$6,$Q17&lt;=Statement!$C$7)))</f>
        <v/>
      </c>
      <c r="T17">
        <f>IF($S17,COUNTIF($S$2:$S17,TRUE),"")</f>
        <v/>
      </c>
      <c r="U17" s="17">
        <f>IF($F17=Statement!$C$3,$N17,0)+IF($H17=Statement!$C$3,$O17,0)</f>
        <v/>
      </c>
      <c r="V17" s="17">
        <f>IF(NOT($S17),0,IF(AND($B17&gt;=Statement!$C$6,$B17&lt;=Statement!$C$7),$U17,0)-IF(ISNUMBER($Q17),IF(AND($Q17&gt;=Statement!$C$6,$Q17&lt;=Statement!$C$7),$U17,0),0))</f>
        <v/>
      </c>
      <c r="W17" s="23">
        <f>IF($F17=Statement!$C$3,$G17,0)+IF($H17=Statement!$C$3,IF($I17="",0,$I17),0)</f>
        <v/>
      </c>
      <c r="X17">
        <f>IF(NOT($S17),"",IF(ISNUMBER($Q17),IF(AND($Q17&gt;=Statement!$C$6,$Q17&lt;=Statement!$C$7),"Clawback: credit reversed",""),"")&amp;IF(AND($B17&gt;=Statement!$C$6,$B17&lt;=Statement!$C$7,N($L17)&lt;1),"Partial credit: "&amp;TEXT($L17,"0%"),""))</f>
        <v/>
      </c>
    </row>
    <row r="18">
      <c r="A18" s="19" t="inlineStr">
        <is>
          <t>D-1019</t>
        </is>
      </c>
      <c r="B18" s="20" t="n">
        <v>46185</v>
      </c>
      <c r="C18" s="19" t="inlineStr">
        <is>
          <t>Sample account 19</t>
        </is>
      </c>
      <c r="D18" s="19" t="inlineStr">
        <is>
          <t>New business</t>
        </is>
      </c>
      <c r="E18" s="21" t="n">
        <v>40000</v>
      </c>
      <c r="F18" s="19" t="inlineStr">
        <is>
          <t>Jordan Lee</t>
        </is>
      </c>
      <c r="G18" s="22" t="n">
        <v>1</v>
      </c>
      <c r="H18" s="19" t="n"/>
      <c r="I18" s="22" t="n"/>
      <c r="J18" s="20" t="n">
        <v>46273</v>
      </c>
      <c r="K18" s="19" t="inlineStr">
        <is>
          <t>Cancelled Sep 8, inside the clawback window</t>
        </is>
      </c>
      <c r="L18" s="23">
        <f>IF($E18="","",IFERROR(VLOOKUP($D18,'Plan setup'!$A$17:$B$21,2,FALSE),0))</f>
        <v/>
      </c>
      <c r="M18" s="17">
        <f>IF($E18="","",$E18*$L18)</f>
        <v/>
      </c>
      <c r="N18" s="17">
        <f>IF(OR($E18="",$F18=""),0,$M18*$G18)</f>
        <v/>
      </c>
      <c r="O18" s="17">
        <f>IF(OR($E18="",$H18=""),0,$M18*$I18)</f>
        <v/>
      </c>
      <c r="P18">
        <f>IF($J18="","",IF($J18-$B18&lt;='Plan setup'!$B$5,"Reversed","Outside window"))</f>
        <v/>
      </c>
      <c r="Q18" s="24">
        <f>IF($P18="Reversed",$J18,"")</f>
        <v/>
      </c>
      <c r="R18">
        <f>IF($E18="","",IF(ABS($G18+IF($I18="",0,$I18)-1)&gt;0.0001,"Splits must total 100%",IF(COUNTIF('Plan setup'!$A$25:$A$34,$F18)=0,"Rep 1 not in Plan setup",IF(IF($H18="",FALSE,COUNTIF('Plan setup'!$A$25:$A$34,$H18)=0),"Rep 2 not in Plan setup",IF(COUNTIF('Plan setup'!$A$17:$A$21,$D18)=0,"Unknown deal type",IF($P18="Outside window","Clawback outside window: not reversed","OK"))))))</f>
        <v/>
      </c>
      <c r="S18">
        <f>AND(ISNUMBER($B18),OR($F18=Statement!$C$3,$H18=Statement!$C$3),OR(AND($B18&gt;=Statement!$C$6,$B18&lt;=Statement!$C$7),AND(ISNUMBER($Q18),$Q18&gt;=Statement!$C$6,$Q18&lt;=Statement!$C$7)))</f>
        <v/>
      </c>
      <c r="T18">
        <f>IF($S18,COUNTIF($S$2:$S18,TRUE),"")</f>
        <v/>
      </c>
      <c r="U18" s="17">
        <f>IF($F18=Statement!$C$3,$N18,0)+IF($H18=Statement!$C$3,$O18,0)</f>
        <v/>
      </c>
      <c r="V18" s="17">
        <f>IF(NOT($S18),0,IF(AND($B18&gt;=Statement!$C$6,$B18&lt;=Statement!$C$7),$U18,0)-IF(ISNUMBER($Q18),IF(AND($Q18&gt;=Statement!$C$6,$Q18&lt;=Statement!$C$7),$U18,0),0))</f>
        <v/>
      </c>
      <c r="W18" s="23">
        <f>IF($F18=Statement!$C$3,$G18,0)+IF($H18=Statement!$C$3,IF($I18="",0,$I18),0)</f>
        <v/>
      </c>
      <c r="X18">
        <f>IF(NOT($S18),"",IF(ISNUMBER($Q18),IF(AND($Q18&gt;=Statement!$C$6,$Q18&lt;=Statement!$C$7),"Clawback: credit reversed",""),"")&amp;IF(AND($B18&gt;=Statement!$C$6,$B18&lt;=Statement!$C$7,N($L18)&lt;1),"Partial credit: "&amp;TEXT($L18,"0%"),""))</f>
        <v/>
      </c>
    </row>
    <row r="19">
      <c r="A19" s="19" t="inlineStr">
        <is>
          <t>D-1017</t>
        </is>
      </c>
      <c r="B19" s="20" t="n">
        <v>46191</v>
      </c>
      <c r="C19" s="19" t="inlineStr">
        <is>
          <t>Sample account 17</t>
        </is>
      </c>
      <c r="D19" s="19" t="inlineStr">
        <is>
          <t>Renewal</t>
        </is>
      </c>
      <c r="E19" s="21" t="n">
        <v>300000</v>
      </c>
      <c r="F19" s="19" t="inlineStr">
        <is>
          <t>Elena Ruiz</t>
        </is>
      </c>
      <c r="G19" s="22" t="n">
        <v>1</v>
      </c>
      <c r="H19" s="19" t="n"/>
      <c r="I19" s="22" t="n"/>
      <c r="J19" s="20" t="n"/>
      <c r="K19" s="19" t="n"/>
      <c r="L19" s="23">
        <f>IF($E19="","",IFERROR(VLOOKUP($D19,'Plan setup'!$A$17:$B$21,2,FALSE),0))</f>
        <v/>
      </c>
      <c r="M19" s="17">
        <f>IF($E19="","",$E19*$L19)</f>
        <v/>
      </c>
      <c r="N19" s="17">
        <f>IF(OR($E19="",$F19=""),0,$M19*$G19)</f>
        <v/>
      </c>
      <c r="O19" s="17">
        <f>IF(OR($E19="",$H19=""),0,$M19*$I19)</f>
        <v/>
      </c>
      <c r="P19">
        <f>IF($J19="","",IF($J19-$B19&lt;='Plan setup'!$B$5,"Reversed","Outside window"))</f>
        <v/>
      </c>
      <c r="Q19" s="24">
        <f>IF($P19="Reversed",$J19,"")</f>
        <v/>
      </c>
      <c r="R19">
        <f>IF($E19="","",IF(ABS($G19+IF($I19="",0,$I19)-1)&gt;0.0001,"Splits must total 100%",IF(COUNTIF('Plan setup'!$A$25:$A$34,$F19)=0,"Rep 1 not in Plan setup",IF(IF($H19="",FALSE,COUNTIF('Plan setup'!$A$25:$A$34,$H19)=0),"Rep 2 not in Plan setup",IF(COUNTIF('Plan setup'!$A$17:$A$21,$D19)=0,"Unknown deal type",IF($P19="Outside window","Clawback outside window: not reversed","OK"))))))</f>
        <v/>
      </c>
      <c r="S19">
        <f>AND(ISNUMBER($B19),OR($F19=Statement!$C$3,$H19=Statement!$C$3),OR(AND($B19&gt;=Statement!$C$6,$B19&lt;=Statement!$C$7),AND(ISNUMBER($Q19),$Q19&gt;=Statement!$C$6,$Q19&lt;=Statement!$C$7)))</f>
        <v/>
      </c>
      <c r="T19">
        <f>IF($S19,COUNTIF($S$2:$S19,TRUE),"")</f>
        <v/>
      </c>
      <c r="U19" s="17">
        <f>IF($F19=Statement!$C$3,$N19,0)+IF($H19=Statement!$C$3,$O19,0)</f>
        <v/>
      </c>
      <c r="V19" s="17">
        <f>IF(NOT($S19),0,IF(AND($B19&gt;=Statement!$C$6,$B19&lt;=Statement!$C$7),$U19,0)-IF(ISNUMBER($Q19),IF(AND($Q19&gt;=Statement!$C$6,$Q19&lt;=Statement!$C$7),$U19,0),0))</f>
        <v/>
      </c>
      <c r="W19" s="23">
        <f>IF($F19=Statement!$C$3,$G19,0)+IF($H19=Statement!$C$3,IF($I19="",0,$I19),0)</f>
        <v/>
      </c>
      <c r="X19">
        <f>IF(NOT($S19),"",IF(ISNUMBER($Q19),IF(AND($Q19&gt;=Statement!$C$6,$Q19&lt;=Statement!$C$7),"Clawback: credit reversed",""),"")&amp;IF(AND($B19&gt;=Statement!$C$6,$B19&lt;=Statement!$C$7,N($L19)&lt;1),"Partial credit: "&amp;TEXT($L19,"0%"),""))</f>
        <v/>
      </c>
    </row>
    <row r="20">
      <c r="A20" s="19" t="inlineStr">
        <is>
          <t>D-1018</t>
        </is>
      </c>
      <c r="B20" s="20" t="n">
        <v>46198</v>
      </c>
      <c r="C20" s="19" t="inlineStr">
        <is>
          <t>Sample account 18</t>
        </is>
      </c>
      <c r="D20" s="19" t="inlineStr">
        <is>
          <t>New business</t>
        </is>
      </c>
      <c r="E20" s="21" t="n">
        <v>130000</v>
      </c>
      <c r="F20" s="19" t="inlineStr">
        <is>
          <t>Priya Shah</t>
        </is>
      </c>
      <c r="G20" s="22" t="n">
        <v>1</v>
      </c>
      <c r="H20" s="19" t="n"/>
      <c r="I20" s="22" t="n"/>
      <c r="J20" s="20" t="n"/>
      <c r="K20" s="19" t="n"/>
      <c r="L20" s="23">
        <f>IF($E20="","",IFERROR(VLOOKUP($D20,'Plan setup'!$A$17:$B$21,2,FALSE),0))</f>
        <v/>
      </c>
      <c r="M20" s="17">
        <f>IF($E20="","",$E20*$L20)</f>
        <v/>
      </c>
      <c r="N20" s="17">
        <f>IF(OR($E20="",$F20=""),0,$M20*$G20)</f>
        <v/>
      </c>
      <c r="O20" s="17">
        <f>IF(OR($E20="",$H20=""),0,$M20*$I20)</f>
        <v/>
      </c>
      <c r="P20">
        <f>IF($J20="","",IF($J20-$B20&lt;='Plan setup'!$B$5,"Reversed","Outside window"))</f>
        <v/>
      </c>
      <c r="Q20" s="24">
        <f>IF($P20="Reversed",$J20,"")</f>
        <v/>
      </c>
      <c r="R20">
        <f>IF($E20="","",IF(ABS($G20+IF($I20="",0,$I20)-1)&gt;0.0001,"Splits must total 100%",IF(COUNTIF('Plan setup'!$A$25:$A$34,$F20)=0,"Rep 1 not in Plan setup",IF(IF($H20="",FALSE,COUNTIF('Plan setup'!$A$25:$A$34,$H20)=0),"Rep 2 not in Plan setup",IF(COUNTIF('Plan setup'!$A$17:$A$21,$D20)=0,"Unknown deal type",IF($P20="Outside window","Clawback outside window: not reversed","OK"))))))</f>
        <v/>
      </c>
      <c r="S20">
        <f>AND(ISNUMBER($B20),OR($F20=Statement!$C$3,$H20=Statement!$C$3),OR(AND($B20&gt;=Statement!$C$6,$B20&lt;=Statement!$C$7),AND(ISNUMBER($Q20),$Q20&gt;=Statement!$C$6,$Q20&lt;=Statement!$C$7)))</f>
        <v/>
      </c>
      <c r="T20">
        <f>IF($S20,COUNTIF($S$2:$S20,TRUE),"")</f>
        <v/>
      </c>
      <c r="U20" s="17">
        <f>IF($F20=Statement!$C$3,$N20,0)+IF($H20=Statement!$C$3,$O20,0)</f>
        <v/>
      </c>
      <c r="V20" s="17">
        <f>IF(NOT($S20),0,IF(AND($B20&gt;=Statement!$C$6,$B20&lt;=Statement!$C$7),$U20,0)-IF(ISNUMBER($Q20),IF(AND($Q20&gt;=Statement!$C$6,$Q20&lt;=Statement!$C$7),$U20,0),0))</f>
        <v/>
      </c>
      <c r="W20" s="23">
        <f>IF($F20=Statement!$C$3,$G20,0)+IF($H20=Statement!$C$3,IF($I20="",0,$I20),0)</f>
        <v/>
      </c>
      <c r="X20">
        <f>IF(NOT($S20),"",IF(ISNUMBER($Q20),IF(AND($Q20&gt;=Statement!$C$6,$Q20&lt;=Statement!$C$7),"Clawback: credit reversed",""),"")&amp;IF(AND($B20&gt;=Statement!$C$6,$B20&lt;=Statement!$C$7,N($L20)&lt;1),"Partial credit: "&amp;TEXT($L20,"0%"),""))</f>
        <v/>
      </c>
    </row>
    <row r="21">
      <c r="A21" s="19" t="inlineStr">
        <is>
          <t>D-1020</t>
        </is>
      </c>
      <c r="B21" s="20" t="n">
        <v>46199</v>
      </c>
      <c r="C21" s="19" t="inlineStr">
        <is>
          <t>Sample account 20</t>
        </is>
      </c>
      <c r="D21" s="19" t="inlineStr">
        <is>
          <t>New business</t>
        </is>
      </c>
      <c r="E21" s="21" t="n">
        <v>280000</v>
      </c>
      <c r="F21" s="19" t="inlineStr">
        <is>
          <t>Marcus Bell</t>
        </is>
      </c>
      <c r="G21" s="22" t="n">
        <v>1</v>
      </c>
      <c r="H21" s="19" t="n"/>
      <c r="I21" s="22" t="n"/>
      <c r="J21" s="20" t="n"/>
      <c r="K21" s="19" t="n"/>
      <c r="L21" s="23">
        <f>IF($E21="","",IFERROR(VLOOKUP($D21,'Plan setup'!$A$17:$B$21,2,FALSE),0))</f>
        <v/>
      </c>
      <c r="M21" s="17">
        <f>IF($E21="","",$E21*$L21)</f>
        <v/>
      </c>
      <c r="N21" s="17">
        <f>IF(OR($E21="",$F21=""),0,$M21*$G21)</f>
        <v/>
      </c>
      <c r="O21" s="17">
        <f>IF(OR($E21="",$H21=""),0,$M21*$I21)</f>
        <v/>
      </c>
      <c r="P21">
        <f>IF($J21="","",IF($J21-$B21&lt;='Plan setup'!$B$5,"Reversed","Outside window"))</f>
        <v/>
      </c>
      <c r="Q21" s="24">
        <f>IF($P21="Reversed",$J21,"")</f>
        <v/>
      </c>
      <c r="R21">
        <f>IF($E21="","",IF(ABS($G21+IF($I21="",0,$I21)-1)&gt;0.0001,"Splits must total 100%",IF(COUNTIF('Plan setup'!$A$25:$A$34,$F21)=0,"Rep 1 not in Plan setup",IF(IF($H21="",FALSE,COUNTIF('Plan setup'!$A$25:$A$34,$H21)=0),"Rep 2 not in Plan setup",IF(COUNTIF('Plan setup'!$A$17:$A$21,$D21)=0,"Unknown deal type",IF($P21="Outside window","Clawback outside window: not reversed","OK"))))))</f>
        <v/>
      </c>
      <c r="S21">
        <f>AND(ISNUMBER($B21),OR($F21=Statement!$C$3,$H21=Statement!$C$3),OR(AND($B21&gt;=Statement!$C$6,$B21&lt;=Statement!$C$7),AND(ISNUMBER($Q21),$Q21&gt;=Statement!$C$6,$Q21&lt;=Statement!$C$7)))</f>
        <v/>
      </c>
      <c r="T21">
        <f>IF($S21,COUNTIF($S$2:$S21,TRUE),"")</f>
        <v/>
      </c>
      <c r="U21" s="17">
        <f>IF($F21=Statement!$C$3,$N21,0)+IF($H21=Statement!$C$3,$O21,0)</f>
        <v/>
      </c>
      <c r="V21" s="17">
        <f>IF(NOT($S21),0,IF(AND($B21&gt;=Statement!$C$6,$B21&lt;=Statement!$C$7),$U21,0)-IF(ISNUMBER($Q21),IF(AND($Q21&gt;=Statement!$C$6,$Q21&lt;=Statement!$C$7),$U21,0),0))</f>
        <v/>
      </c>
      <c r="W21" s="23">
        <f>IF($F21=Statement!$C$3,$G21,0)+IF($H21=Statement!$C$3,IF($I21="",0,$I21),0)</f>
        <v/>
      </c>
      <c r="X21">
        <f>IF(NOT($S21),"",IF(ISNUMBER($Q21),IF(AND($Q21&gt;=Statement!$C$6,$Q21&lt;=Statement!$C$7),"Clawback: credit reversed",""),"")&amp;IF(AND($B21&gt;=Statement!$C$6,$B21&lt;=Statement!$C$7,N($L21)&lt;1),"Partial credit: "&amp;TEXT($L21,"0%"),""))</f>
        <v/>
      </c>
    </row>
    <row r="22">
      <c r="A22" s="19" t="inlineStr">
        <is>
          <t>D-1022</t>
        </is>
      </c>
      <c r="B22" s="20" t="n">
        <v>46203</v>
      </c>
      <c r="C22" s="19" t="inlineStr">
        <is>
          <t>Sample account 22</t>
        </is>
      </c>
      <c r="D22" s="19" t="inlineStr">
        <is>
          <t>New business</t>
        </is>
      </c>
      <c r="E22" s="21" t="n">
        <v>180000</v>
      </c>
      <c r="F22" s="19" t="inlineStr">
        <is>
          <t>Jordan Lee</t>
        </is>
      </c>
      <c r="G22" s="22" t="n">
        <v>1</v>
      </c>
      <c r="H22" s="19" t="n"/>
      <c r="I22" s="22" t="n"/>
      <c r="J22" s="20" t="n"/>
      <c r="K22" s="19" t="n"/>
      <c r="L22" s="23">
        <f>IF($E22="","",IFERROR(VLOOKUP($D22,'Plan setup'!$A$17:$B$21,2,FALSE),0))</f>
        <v/>
      </c>
      <c r="M22" s="17">
        <f>IF($E22="","",$E22*$L22)</f>
        <v/>
      </c>
      <c r="N22" s="17">
        <f>IF(OR($E22="",$F22=""),0,$M22*$G22)</f>
        <v/>
      </c>
      <c r="O22" s="17">
        <f>IF(OR($E22="",$H22=""),0,$M22*$I22)</f>
        <v/>
      </c>
      <c r="P22">
        <f>IF($J22="","",IF($J22-$B22&lt;='Plan setup'!$B$5,"Reversed","Outside window"))</f>
        <v/>
      </c>
      <c r="Q22" s="24">
        <f>IF($P22="Reversed",$J22,"")</f>
        <v/>
      </c>
      <c r="R22">
        <f>IF($E22="","",IF(ABS($G22+IF($I22="",0,$I22)-1)&gt;0.0001,"Splits must total 100%",IF(COUNTIF('Plan setup'!$A$25:$A$34,$F22)=0,"Rep 1 not in Plan setup",IF(IF($H22="",FALSE,COUNTIF('Plan setup'!$A$25:$A$34,$H22)=0),"Rep 2 not in Plan setup",IF(COUNTIF('Plan setup'!$A$17:$A$21,$D22)=0,"Unknown deal type",IF($P22="Outside window","Clawback outside window: not reversed","OK"))))))</f>
        <v/>
      </c>
      <c r="S22">
        <f>AND(ISNUMBER($B22),OR($F22=Statement!$C$3,$H22=Statement!$C$3),OR(AND($B22&gt;=Statement!$C$6,$B22&lt;=Statement!$C$7),AND(ISNUMBER($Q22),$Q22&gt;=Statement!$C$6,$Q22&lt;=Statement!$C$7)))</f>
        <v/>
      </c>
      <c r="T22">
        <f>IF($S22,COUNTIF($S$2:$S22,TRUE),"")</f>
        <v/>
      </c>
      <c r="U22" s="17">
        <f>IF($F22=Statement!$C$3,$N22,0)+IF($H22=Statement!$C$3,$O22,0)</f>
        <v/>
      </c>
      <c r="V22" s="17">
        <f>IF(NOT($S22),0,IF(AND($B22&gt;=Statement!$C$6,$B22&lt;=Statement!$C$7),$U22,0)-IF(ISNUMBER($Q22),IF(AND($Q22&gt;=Statement!$C$6,$Q22&lt;=Statement!$C$7),$U22,0),0))</f>
        <v/>
      </c>
      <c r="W22" s="23">
        <f>IF($F22=Statement!$C$3,$G22,0)+IF($H22=Statement!$C$3,IF($I22="",0,$I22),0)</f>
        <v/>
      </c>
      <c r="X22">
        <f>IF(NOT($S22),"",IF(ISNUMBER($Q22),IF(AND($Q22&gt;=Statement!$C$6,$Q22&lt;=Statement!$C$7),"Clawback: credit reversed",""),"")&amp;IF(AND($B22&gt;=Statement!$C$6,$B22&lt;=Statement!$C$7,N($L22)&lt;1),"Partial credit: "&amp;TEXT($L22,"0%"),""))</f>
        <v/>
      </c>
    </row>
    <row r="23">
      <c r="A23" s="19" t="inlineStr">
        <is>
          <t>D-1021</t>
        </is>
      </c>
      <c r="B23" s="20" t="n">
        <v>46212</v>
      </c>
      <c r="C23" s="19" t="inlineStr">
        <is>
          <t>Sample account 21</t>
        </is>
      </c>
      <c r="D23" s="19" t="inlineStr">
        <is>
          <t>Expansion</t>
        </is>
      </c>
      <c r="E23" s="21" t="n">
        <v>55000</v>
      </c>
      <c r="F23" s="19" t="inlineStr">
        <is>
          <t>Elena Ruiz</t>
        </is>
      </c>
      <c r="G23" s="22" t="n">
        <v>1</v>
      </c>
      <c r="H23" s="19" t="n"/>
      <c r="I23" s="22" t="n"/>
      <c r="J23" s="20" t="n"/>
      <c r="K23" s="19" t="n"/>
      <c r="L23" s="23">
        <f>IF($E23="","",IFERROR(VLOOKUP($D23,'Plan setup'!$A$17:$B$21,2,FALSE),0))</f>
        <v/>
      </c>
      <c r="M23" s="17">
        <f>IF($E23="","",$E23*$L23)</f>
        <v/>
      </c>
      <c r="N23" s="17">
        <f>IF(OR($E23="",$F23=""),0,$M23*$G23)</f>
        <v/>
      </c>
      <c r="O23" s="17">
        <f>IF(OR($E23="",$H23=""),0,$M23*$I23)</f>
        <v/>
      </c>
      <c r="P23">
        <f>IF($J23="","",IF($J23-$B23&lt;='Plan setup'!$B$5,"Reversed","Outside window"))</f>
        <v/>
      </c>
      <c r="Q23" s="24">
        <f>IF($P23="Reversed",$J23,"")</f>
        <v/>
      </c>
      <c r="R23">
        <f>IF($E23="","",IF(ABS($G23+IF($I23="",0,$I23)-1)&gt;0.0001,"Splits must total 100%",IF(COUNTIF('Plan setup'!$A$25:$A$34,$F23)=0,"Rep 1 not in Plan setup",IF(IF($H23="",FALSE,COUNTIF('Plan setup'!$A$25:$A$34,$H23)=0),"Rep 2 not in Plan setup",IF(COUNTIF('Plan setup'!$A$17:$A$21,$D23)=0,"Unknown deal type",IF($P23="Outside window","Clawback outside window: not reversed","OK"))))))</f>
        <v/>
      </c>
      <c r="S23">
        <f>AND(ISNUMBER($B23),OR($F23=Statement!$C$3,$H23=Statement!$C$3),OR(AND($B23&gt;=Statement!$C$6,$B23&lt;=Statement!$C$7),AND(ISNUMBER($Q23),$Q23&gt;=Statement!$C$6,$Q23&lt;=Statement!$C$7)))</f>
        <v/>
      </c>
      <c r="T23">
        <f>IF($S23,COUNTIF($S$2:$S23,TRUE),"")</f>
        <v/>
      </c>
      <c r="U23" s="17">
        <f>IF($F23=Statement!$C$3,$N23,0)+IF($H23=Statement!$C$3,$O23,0)</f>
        <v/>
      </c>
      <c r="V23" s="17">
        <f>IF(NOT($S23),0,IF(AND($B23&gt;=Statement!$C$6,$B23&lt;=Statement!$C$7),$U23,0)-IF(ISNUMBER($Q23),IF(AND($Q23&gt;=Statement!$C$6,$Q23&lt;=Statement!$C$7),$U23,0),0))</f>
        <v/>
      </c>
      <c r="W23" s="23">
        <f>IF($F23=Statement!$C$3,$G23,0)+IF($H23=Statement!$C$3,IF($I23="",0,$I23),0)</f>
        <v/>
      </c>
      <c r="X23">
        <f>IF(NOT($S23),"",IF(ISNUMBER($Q23),IF(AND($Q23&gt;=Statement!$C$6,$Q23&lt;=Statement!$C$7),"Clawback: credit reversed",""),"")&amp;IF(AND($B23&gt;=Statement!$C$6,$B23&lt;=Statement!$C$7,N($L23)&lt;1),"Partial credit: "&amp;TEXT($L23,"0%"),""))</f>
        <v/>
      </c>
    </row>
    <row r="24">
      <c r="A24" s="19" t="inlineStr">
        <is>
          <t>D-1023</t>
        </is>
      </c>
      <c r="B24" s="20" t="n">
        <v>46219</v>
      </c>
      <c r="C24" s="19" t="inlineStr">
        <is>
          <t>Sample account 23</t>
        </is>
      </c>
      <c r="D24" s="19" t="inlineStr">
        <is>
          <t>New business</t>
        </is>
      </c>
      <c r="E24" s="21" t="n">
        <v>75000</v>
      </c>
      <c r="F24" s="19" t="inlineStr">
        <is>
          <t>Priya Shah</t>
        </is>
      </c>
      <c r="G24" s="22" t="n">
        <v>1</v>
      </c>
      <c r="H24" s="19" t="n"/>
      <c r="I24" s="22" t="n"/>
      <c r="J24" s="20" t="n"/>
      <c r="K24" s="19" t="n"/>
      <c r="L24" s="23">
        <f>IF($E24="","",IFERROR(VLOOKUP($D24,'Plan setup'!$A$17:$B$21,2,FALSE),0))</f>
        <v/>
      </c>
      <c r="M24" s="17">
        <f>IF($E24="","",$E24*$L24)</f>
        <v/>
      </c>
      <c r="N24" s="17">
        <f>IF(OR($E24="",$F24=""),0,$M24*$G24)</f>
        <v/>
      </c>
      <c r="O24" s="17">
        <f>IF(OR($E24="",$H24=""),0,$M24*$I24)</f>
        <v/>
      </c>
      <c r="P24">
        <f>IF($J24="","",IF($J24-$B24&lt;='Plan setup'!$B$5,"Reversed","Outside window"))</f>
        <v/>
      </c>
      <c r="Q24" s="24">
        <f>IF($P24="Reversed",$J24,"")</f>
        <v/>
      </c>
      <c r="R24">
        <f>IF($E24="","",IF(ABS($G24+IF($I24="",0,$I24)-1)&gt;0.0001,"Splits must total 100%",IF(COUNTIF('Plan setup'!$A$25:$A$34,$F24)=0,"Rep 1 not in Plan setup",IF(IF($H24="",FALSE,COUNTIF('Plan setup'!$A$25:$A$34,$H24)=0),"Rep 2 not in Plan setup",IF(COUNTIF('Plan setup'!$A$17:$A$21,$D24)=0,"Unknown deal type",IF($P24="Outside window","Clawback outside window: not reversed","OK"))))))</f>
        <v/>
      </c>
      <c r="S24">
        <f>AND(ISNUMBER($B24),OR($F24=Statement!$C$3,$H24=Statement!$C$3),OR(AND($B24&gt;=Statement!$C$6,$B24&lt;=Statement!$C$7),AND(ISNUMBER($Q24),$Q24&gt;=Statement!$C$6,$Q24&lt;=Statement!$C$7)))</f>
        <v/>
      </c>
      <c r="T24">
        <f>IF($S24,COUNTIF($S$2:$S24,TRUE),"")</f>
        <v/>
      </c>
      <c r="U24" s="17">
        <f>IF($F24=Statement!$C$3,$N24,0)+IF($H24=Statement!$C$3,$O24,0)</f>
        <v/>
      </c>
      <c r="V24" s="17">
        <f>IF(NOT($S24),0,IF(AND($B24&gt;=Statement!$C$6,$B24&lt;=Statement!$C$7),$U24,0)-IF(ISNUMBER($Q24),IF(AND($Q24&gt;=Statement!$C$6,$Q24&lt;=Statement!$C$7),$U24,0),0))</f>
        <v/>
      </c>
      <c r="W24" s="23">
        <f>IF($F24=Statement!$C$3,$G24,0)+IF($H24=Statement!$C$3,IF($I24="",0,$I24),0)</f>
        <v/>
      </c>
      <c r="X24">
        <f>IF(NOT($S24),"",IF(ISNUMBER($Q24),IF(AND($Q24&gt;=Statement!$C$6,$Q24&lt;=Statement!$C$7),"Clawback: credit reversed",""),"")&amp;IF(AND($B24&gt;=Statement!$C$6,$B24&lt;=Statement!$C$7,N($L24)&lt;1),"Partial credit: "&amp;TEXT($L24,"0%"),""))</f>
        <v/>
      </c>
    </row>
    <row r="25">
      <c r="A25" s="19" t="inlineStr">
        <is>
          <t>D-1025</t>
        </is>
      </c>
      <c r="B25" s="20" t="n">
        <v>46227</v>
      </c>
      <c r="C25" s="19" t="inlineStr">
        <is>
          <t>Sample account 25</t>
        </is>
      </c>
      <c r="D25" s="19" t="inlineStr">
        <is>
          <t>Renewal</t>
        </is>
      </c>
      <c r="E25" s="21" t="n">
        <v>80000</v>
      </c>
      <c r="F25" s="19" t="inlineStr">
        <is>
          <t>Jordan Lee</t>
        </is>
      </c>
      <c r="G25" s="22" t="n">
        <v>1</v>
      </c>
      <c r="H25" s="19" t="n"/>
      <c r="I25" s="22" t="n"/>
      <c r="J25" s="20" t="n"/>
      <c r="K25" s="19" t="inlineStr">
        <is>
          <t>Renewal earns 25% credit</t>
        </is>
      </c>
      <c r="L25" s="23">
        <f>IF($E25="","",IFERROR(VLOOKUP($D25,'Plan setup'!$A$17:$B$21,2,FALSE),0))</f>
        <v/>
      </c>
      <c r="M25" s="17">
        <f>IF($E25="","",$E25*$L25)</f>
        <v/>
      </c>
      <c r="N25" s="17">
        <f>IF(OR($E25="",$F25=""),0,$M25*$G25)</f>
        <v/>
      </c>
      <c r="O25" s="17">
        <f>IF(OR($E25="",$H25=""),0,$M25*$I25)</f>
        <v/>
      </c>
      <c r="P25">
        <f>IF($J25="","",IF($J25-$B25&lt;='Plan setup'!$B$5,"Reversed","Outside window"))</f>
        <v/>
      </c>
      <c r="Q25" s="24">
        <f>IF($P25="Reversed",$J25,"")</f>
        <v/>
      </c>
      <c r="R25">
        <f>IF($E25="","",IF(ABS($G25+IF($I25="",0,$I25)-1)&gt;0.0001,"Splits must total 100%",IF(COUNTIF('Plan setup'!$A$25:$A$34,$F25)=0,"Rep 1 not in Plan setup",IF(IF($H25="",FALSE,COUNTIF('Plan setup'!$A$25:$A$34,$H25)=0),"Rep 2 not in Plan setup",IF(COUNTIF('Plan setup'!$A$17:$A$21,$D25)=0,"Unknown deal type",IF($P25="Outside window","Clawback outside window: not reversed","OK"))))))</f>
        <v/>
      </c>
      <c r="S25">
        <f>AND(ISNUMBER($B25),OR($F25=Statement!$C$3,$H25=Statement!$C$3),OR(AND($B25&gt;=Statement!$C$6,$B25&lt;=Statement!$C$7),AND(ISNUMBER($Q25),$Q25&gt;=Statement!$C$6,$Q25&lt;=Statement!$C$7)))</f>
        <v/>
      </c>
      <c r="T25">
        <f>IF($S25,COUNTIF($S$2:$S25,TRUE),"")</f>
        <v/>
      </c>
      <c r="U25" s="17">
        <f>IF($F25=Statement!$C$3,$N25,0)+IF($H25=Statement!$C$3,$O25,0)</f>
        <v/>
      </c>
      <c r="V25" s="17">
        <f>IF(NOT($S25),0,IF(AND($B25&gt;=Statement!$C$6,$B25&lt;=Statement!$C$7),$U25,0)-IF(ISNUMBER($Q25),IF(AND($Q25&gt;=Statement!$C$6,$Q25&lt;=Statement!$C$7),$U25,0),0))</f>
        <v/>
      </c>
      <c r="W25" s="23">
        <f>IF($F25=Statement!$C$3,$G25,0)+IF($H25=Statement!$C$3,IF($I25="",0,$I25),0)</f>
        <v/>
      </c>
      <c r="X25">
        <f>IF(NOT($S25),"",IF(ISNUMBER($Q25),IF(AND($Q25&gt;=Statement!$C$6,$Q25&lt;=Statement!$C$7),"Clawback: credit reversed",""),"")&amp;IF(AND($B25&gt;=Statement!$C$6,$B25&lt;=Statement!$C$7,N($L25)&lt;1),"Partial credit: "&amp;TEXT($L25,"0%"),""))</f>
        <v/>
      </c>
    </row>
    <row r="26">
      <c r="A26" s="19" t="inlineStr">
        <is>
          <t>D-1024</t>
        </is>
      </c>
      <c r="B26" s="20" t="n">
        <v>46239</v>
      </c>
      <c r="C26" s="19" t="inlineStr">
        <is>
          <t>Sample account 24</t>
        </is>
      </c>
      <c r="D26" s="19" t="inlineStr">
        <is>
          <t>Expansion</t>
        </is>
      </c>
      <c r="E26" s="21" t="n">
        <v>70000</v>
      </c>
      <c r="F26" s="19" t="inlineStr">
        <is>
          <t>Elena Ruiz</t>
        </is>
      </c>
      <c r="G26" s="22" t="n">
        <v>1</v>
      </c>
      <c r="H26" s="19" t="n"/>
      <c r="I26" s="22" t="n"/>
      <c r="J26" s="20" t="n"/>
      <c r="K26" s="19" t="n"/>
      <c r="L26" s="23">
        <f>IF($E26="","",IFERROR(VLOOKUP($D26,'Plan setup'!$A$17:$B$21,2,FALSE),0))</f>
        <v/>
      </c>
      <c r="M26" s="17">
        <f>IF($E26="","",$E26*$L26)</f>
        <v/>
      </c>
      <c r="N26" s="17">
        <f>IF(OR($E26="",$F26=""),0,$M26*$G26)</f>
        <v/>
      </c>
      <c r="O26" s="17">
        <f>IF(OR($E26="",$H26=""),0,$M26*$I26)</f>
        <v/>
      </c>
      <c r="P26">
        <f>IF($J26="","",IF($J26-$B26&lt;='Plan setup'!$B$5,"Reversed","Outside window"))</f>
        <v/>
      </c>
      <c r="Q26" s="24">
        <f>IF($P26="Reversed",$J26,"")</f>
        <v/>
      </c>
      <c r="R26">
        <f>IF($E26="","",IF(ABS($G26+IF($I26="",0,$I26)-1)&gt;0.0001,"Splits must total 100%",IF(COUNTIF('Plan setup'!$A$25:$A$34,$F26)=0,"Rep 1 not in Plan setup",IF(IF($H26="",FALSE,COUNTIF('Plan setup'!$A$25:$A$34,$H26)=0),"Rep 2 not in Plan setup",IF(COUNTIF('Plan setup'!$A$17:$A$21,$D26)=0,"Unknown deal type",IF($P26="Outside window","Clawback outside window: not reversed","OK"))))))</f>
        <v/>
      </c>
      <c r="S26">
        <f>AND(ISNUMBER($B26),OR($F26=Statement!$C$3,$H26=Statement!$C$3),OR(AND($B26&gt;=Statement!$C$6,$B26&lt;=Statement!$C$7),AND(ISNUMBER($Q26),$Q26&gt;=Statement!$C$6,$Q26&lt;=Statement!$C$7)))</f>
        <v/>
      </c>
      <c r="T26">
        <f>IF($S26,COUNTIF($S$2:$S26,TRUE),"")</f>
        <v/>
      </c>
      <c r="U26" s="17">
        <f>IF($F26=Statement!$C$3,$N26,0)+IF($H26=Statement!$C$3,$O26,0)</f>
        <v/>
      </c>
      <c r="V26" s="17">
        <f>IF(NOT($S26),0,IF(AND($B26&gt;=Statement!$C$6,$B26&lt;=Statement!$C$7),$U26,0)-IF(ISNUMBER($Q26),IF(AND($Q26&gt;=Statement!$C$6,$Q26&lt;=Statement!$C$7),$U26,0),0))</f>
        <v/>
      </c>
      <c r="W26" s="23">
        <f>IF($F26=Statement!$C$3,$G26,0)+IF($H26=Statement!$C$3,IF($I26="",0,$I26),0)</f>
        <v/>
      </c>
      <c r="X26">
        <f>IF(NOT($S26),"",IF(ISNUMBER($Q26),IF(AND($Q26&gt;=Statement!$C$6,$Q26&lt;=Statement!$C$7),"Clawback: credit reversed",""),"")&amp;IF(AND($B26&gt;=Statement!$C$6,$B26&lt;=Statement!$C$7,N($L26)&lt;1),"Partial credit: "&amp;TEXT($L26,"0%"),""))</f>
        <v/>
      </c>
    </row>
    <row r="27">
      <c r="A27" s="19" t="inlineStr">
        <is>
          <t>D-1027</t>
        </is>
      </c>
      <c r="B27" s="20" t="n">
        <v>46247</v>
      </c>
      <c r="C27" s="19" t="inlineStr">
        <is>
          <t>Sample account 27</t>
        </is>
      </c>
      <c r="D27" s="19" t="inlineStr">
        <is>
          <t>New business</t>
        </is>
      </c>
      <c r="E27" s="21" t="n">
        <v>50000</v>
      </c>
      <c r="F27" s="19" t="inlineStr">
        <is>
          <t>Priya Shah</t>
        </is>
      </c>
      <c r="G27" s="22" t="n">
        <v>1</v>
      </c>
      <c r="H27" s="19" t="n"/>
      <c r="I27" s="22" t="n"/>
      <c r="J27" s="20" t="n"/>
      <c r="K27" s="19" t="n"/>
      <c r="L27" s="23">
        <f>IF($E27="","",IFERROR(VLOOKUP($D27,'Plan setup'!$A$17:$B$21,2,FALSE),0))</f>
        <v/>
      </c>
      <c r="M27" s="17">
        <f>IF($E27="","",$E27*$L27)</f>
        <v/>
      </c>
      <c r="N27" s="17">
        <f>IF(OR($E27="",$F27=""),0,$M27*$G27)</f>
        <v/>
      </c>
      <c r="O27" s="17">
        <f>IF(OR($E27="",$H27=""),0,$M27*$I27)</f>
        <v/>
      </c>
      <c r="P27">
        <f>IF($J27="","",IF($J27-$B27&lt;='Plan setup'!$B$5,"Reversed","Outside window"))</f>
        <v/>
      </c>
      <c r="Q27" s="24">
        <f>IF($P27="Reversed",$J27,"")</f>
        <v/>
      </c>
      <c r="R27">
        <f>IF($E27="","",IF(ABS($G27+IF($I27="",0,$I27)-1)&gt;0.0001,"Splits must total 100%",IF(COUNTIF('Plan setup'!$A$25:$A$34,$F27)=0,"Rep 1 not in Plan setup",IF(IF($H27="",FALSE,COUNTIF('Plan setup'!$A$25:$A$34,$H27)=0),"Rep 2 not in Plan setup",IF(COUNTIF('Plan setup'!$A$17:$A$21,$D27)=0,"Unknown deal type",IF($P27="Outside window","Clawback outside window: not reversed","OK"))))))</f>
        <v/>
      </c>
      <c r="S27">
        <f>AND(ISNUMBER($B27),OR($F27=Statement!$C$3,$H27=Statement!$C$3),OR(AND($B27&gt;=Statement!$C$6,$B27&lt;=Statement!$C$7),AND(ISNUMBER($Q27),$Q27&gt;=Statement!$C$6,$Q27&lt;=Statement!$C$7)))</f>
        <v/>
      </c>
      <c r="T27">
        <f>IF($S27,COUNTIF($S$2:$S27,TRUE),"")</f>
        <v/>
      </c>
      <c r="U27" s="17">
        <f>IF($F27=Statement!$C$3,$N27,0)+IF($H27=Statement!$C$3,$O27,0)</f>
        <v/>
      </c>
      <c r="V27" s="17">
        <f>IF(NOT($S27),0,IF(AND($B27&gt;=Statement!$C$6,$B27&lt;=Statement!$C$7),$U27,0)-IF(ISNUMBER($Q27),IF(AND($Q27&gt;=Statement!$C$6,$Q27&lt;=Statement!$C$7),$U27,0),0))</f>
        <v/>
      </c>
      <c r="W27" s="23">
        <f>IF($F27=Statement!$C$3,$G27,0)+IF($H27=Statement!$C$3,IF($I27="",0,$I27),0)</f>
        <v/>
      </c>
      <c r="X27">
        <f>IF(NOT($S27),"",IF(ISNUMBER($Q27),IF(AND($Q27&gt;=Statement!$C$6,$Q27&lt;=Statement!$C$7),"Clawback: credit reversed",""),"")&amp;IF(AND($B27&gt;=Statement!$C$6,$B27&lt;=Statement!$C$7,N($L27)&lt;1),"Partial credit: "&amp;TEXT($L27,"0%"),""))</f>
        <v/>
      </c>
    </row>
    <row r="28">
      <c r="A28" s="19" t="inlineStr">
        <is>
          <t>D-1028</t>
        </is>
      </c>
      <c r="B28" s="20" t="n">
        <v>46254</v>
      </c>
      <c r="C28" s="19" t="inlineStr">
        <is>
          <t>Sample account 28</t>
        </is>
      </c>
      <c r="D28" s="19" t="inlineStr">
        <is>
          <t>New business</t>
        </is>
      </c>
      <c r="E28" s="21" t="n">
        <v>120000</v>
      </c>
      <c r="F28" s="19" t="inlineStr">
        <is>
          <t>Jordan Lee</t>
        </is>
      </c>
      <c r="G28" s="22" t="n">
        <v>1</v>
      </c>
      <c r="H28" s="19" t="n"/>
      <c r="I28" s="22" t="n"/>
      <c r="J28" s="20" t="n"/>
      <c r="K28" s="19" t="n"/>
      <c r="L28" s="23">
        <f>IF($E28="","",IFERROR(VLOOKUP($D28,'Plan setup'!$A$17:$B$21,2,FALSE),0))</f>
        <v/>
      </c>
      <c r="M28" s="17">
        <f>IF($E28="","",$E28*$L28)</f>
        <v/>
      </c>
      <c r="N28" s="17">
        <f>IF(OR($E28="",$F28=""),0,$M28*$G28)</f>
        <v/>
      </c>
      <c r="O28" s="17">
        <f>IF(OR($E28="",$H28=""),0,$M28*$I28)</f>
        <v/>
      </c>
      <c r="P28">
        <f>IF($J28="","",IF($J28-$B28&lt;='Plan setup'!$B$5,"Reversed","Outside window"))</f>
        <v/>
      </c>
      <c r="Q28" s="24">
        <f>IF($P28="Reversed",$J28,"")</f>
        <v/>
      </c>
      <c r="R28">
        <f>IF($E28="","",IF(ABS($G28+IF($I28="",0,$I28)-1)&gt;0.0001,"Splits must total 100%",IF(COUNTIF('Plan setup'!$A$25:$A$34,$F28)=0,"Rep 1 not in Plan setup",IF(IF($H28="",FALSE,COUNTIF('Plan setup'!$A$25:$A$34,$H28)=0),"Rep 2 not in Plan setup",IF(COUNTIF('Plan setup'!$A$17:$A$21,$D28)=0,"Unknown deal type",IF($P28="Outside window","Clawback outside window: not reversed","OK"))))))</f>
        <v/>
      </c>
      <c r="S28">
        <f>AND(ISNUMBER($B28),OR($F28=Statement!$C$3,$H28=Statement!$C$3),OR(AND($B28&gt;=Statement!$C$6,$B28&lt;=Statement!$C$7),AND(ISNUMBER($Q28),$Q28&gt;=Statement!$C$6,$Q28&lt;=Statement!$C$7)))</f>
        <v/>
      </c>
      <c r="T28">
        <f>IF($S28,COUNTIF($S$2:$S28,TRUE),"")</f>
        <v/>
      </c>
      <c r="U28" s="17">
        <f>IF($F28=Statement!$C$3,$N28,0)+IF($H28=Statement!$C$3,$O28,0)</f>
        <v/>
      </c>
      <c r="V28" s="17">
        <f>IF(NOT($S28),0,IF(AND($B28&gt;=Statement!$C$6,$B28&lt;=Statement!$C$7),$U28,0)-IF(ISNUMBER($Q28),IF(AND($Q28&gt;=Statement!$C$6,$Q28&lt;=Statement!$C$7),$U28,0),0))</f>
        <v/>
      </c>
      <c r="W28" s="23">
        <f>IF($F28=Statement!$C$3,$G28,0)+IF($H28=Statement!$C$3,IF($I28="",0,$I28),0)</f>
        <v/>
      </c>
      <c r="X28">
        <f>IF(NOT($S28),"",IF(ISNUMBER($Q28),IF(AND($Q28&gt;=Statement!$C$6,$Q28&lt;=Statement!$C$7),"Clawback: credit reversed",""),"")&amp;IF(AND($B28&gt;=Statement!$C$6,$B28&lt;=Statement!$C$7,N($L28)&lt;1),"Partial credit: "&amp;TEXT($L28,"0%"),""))</f>
        <v/>
      </c>
    </row>
    <row r="29">
      <c r="A29" s="19" t="inlineStr">
        <is>
          <t>D-1026</t>
        </is>
      </c>
      <c r="B29" s="20" t="n">
        <v>46261</v>
      </c>
      <c r="C29" s="19" t="inlineStr">
        <is>
          <t>Sample account 26</t>
        </is>
      </c>
      <c r="D29" s="19" t="inlineStr">
        <is>
          <t>Renewal</t>
        </is>
      </c>
      <c r="E29" s="21" t="n">
        <v>200000</v>
      </c>
      <c r="F29" s="19" t="inlineStr">
        <is>
          <t>Elena Ruiz</t>
        </is>
      </c>
      <c r="G29" s="22" t="n">
        <v>1</v>
      </c>
      <c r="H29" s="19" t="n"/>
      <c r="I29" s="22" t="n"/>
      <c r="J29" s="20" t="n"/>
      <c r="K29" s="19" t="n"/>
      <c r="L29" s="23">
        <f>IF($E29="","",IFERROR(VLOOKUP($D29,'Plan setup'!$A$17:$B$21,2,FALSE),0))</f>
        <v/>
      </c>
      <c r="M29" s="17">
        <f>IF($E29="","",$E29*$L29)</f>
        <v/>
      </c>
      <c r="N29" s="17">
        <f>IF(OR($E29="",$F29=""),0,$M29*$G29)</f>
        <v/>
      </c>
      <c r="O29" s="17">
        <f>IF(OR($E29="",$H29=""),0,$M29*$I29)</f>
        <v/>
      </c>
      <c r="P29">
        <f>IF($J29="","",IF($J29-$B29&lt;='Plan setup'!$B$5,"Reversed","Outside window"))</f>
        <v/>
      </c>
      <c r="Q29" s="24">
        <f>IF($P29="Reversed",$J29,"")</f>
        <v/>
      </c>
      <c r="R29">
        <f>IF($E29="","",IF(ABS($G29+IF($I29="",0,$I29)-1)&gt;0.0001,"Splits must total 100%",IF(COUNTIF('Plan setup'!$A$25:$A$34,$F29)=0,"Rep 1 not in Plan setup",IF(IF($H29="",FALSE,COUNTIF('Plan setup'!$A$25:$A$34,$H29)=0),"Rep 2 not in Plan setup",IF(COUNTIF('Plan setup'!$A$17:$A$21,$D29)=0,"Unknown deal type",IF($P29="Outside window","Clawback outside window: not reversed","OK"))))))</f>
        <v/>
      </c>
      <c r="S29">
        <f>AND(ISNUMBER($B29),OR($F29=Statement!$C$3,$H29=Statement!$C$3),OR(AND($B29&gt;=Statement!$C$6,$B29&lt;=Statement!$C$7),AND(ISNUMBER($Q29),$Q29&gt;=Statement!$C$6,$Q29&lt;=Statement!$C$7)))</f>
        <v/>
      </c>
      <c r="T29">
        <f>IF($S29,COUNTIF($S$2:$S29,TRUE),"")</f>
        <v/>
      </c>
      <c r="U29" s="17">
        <f>IF($F29=Statement!$C$3,$N29,0)+IF($H29=Statement!$C$3,$O29,0)</f>
        <v/>
      </c>
      <c r="V29" s="17">
        <f>IF(NOT($S29),0,IF(AND($B29&gt;=Statement!$C$6,$B29&lt;=Statement!$C$7),$U29,0)-IF(ISNUMBER($Q29),IF(AND($Q29&gt;=Statement!$C$6,$Q29&lt;=Statement!$C$7),$U29,0),0))</f>
        <v/>
      </c>
      <c r="W29" s="23">
        <f>IF($F29=Statement!$C$3,$G29,0)+IF($H29=Statement!$C$3,IF($I29="",0,$I29),0)</f>
        <v/>
      </c>
      <c r="X29">
        <f>IF(NOT($S29),"",IF(ISNUMBER($Q29),IF(AND($Q29&gt;=Statement!$C$6,$Q29&lt;=Statement!$C$7),"Clawback: credit reversed",""),"")&amp;IF(AND($B29&gt;=Statement!$C$6,$B29&lt;=Statement!$C$7,N($L29)&lt;1),"Partial credit: "&amp;TEXT($L29,"0%"),""))</f>
        <v/>
      </c>
    </row>
    <row r="30">
      <c r="A30" s="19" t="inlineStr">
        <is>
          <t>D-1032</t>
        </is>
      </c>
      <c r="B30" s="20" t="n">
        <v>46279</v>
      </c>
      <c r="C30" s="19" t="inlineStr">
        <is>
          <t>Sample account 32</t>
        </is>
      </c>
      <c r="D30" s="19" t="inlineStr">
        <is>
          <t>Expansion</t>
        </is>
      </c>
      <c r="E30" s="21" t="n">
        <v>40000</v>
      </c>
      <c r="F30" s="19" t="inlineStr">
        <is>
          <t>Elena Ruiz</t>
        </is>
      </c>
      <c r="G30" s="22" t="n">
        <v>1</v>
      </c>
      <c r="H30" s="19" t="n"/>
      <c r="I30" s="22" t="n"/>
      <c r="J30" s="20" t="n"/>
      <c r="K30" s="19" t="n"/>
      <c r="L30" s="23">
        <f>IF($E30="","",IFERROR(VLOOKUP($D30,'Plan setup'!$A$17:$B$21,2,FALSE),0))</f>
        <v/>
      </c>
      <c r="M30" s="17">
        <f>IF($E30="","",$E30*$L30)</f>
        <v/>
      </c>
      <c r="N30" s="17">
        <f>IF(OR($E30="",$F30=""),0,$M30*$G30)</f>
        <v/>
      </c>
      <c r="O30" s="17">
        <f>IF(OR($E30="",$H30=""),0,$M30*$I30)</f>
        <v/>
      </c>
      <c r="P30">
        <f>IF($J30="","",IF($J30-$B30&lt;='Plan setup'!$B$5,"Reversed","Outside window"))</f>
        <v/>
      </c>
      <c r="Q30" s="24">
        <f>IF($P30="Reversed",$J30,"")</f>
        <v/>
      </c>
      <c r="R30">
        <f>IF($E30="","",IF(ABS($G30+IF($I30="",0,$I30)-1)&gt;0.0001,"Splits must total 100%",IF(COUNTIF('Plan setup'!$A$25:$A$34,$F30)=0,"Rep 1 not in Plan setup",IF(IF($H30="",FALSE,COUNTIF('Plan setup'!$A$25:$A$34,$H30)=0),"Rep 2 not in Plan setup",IF(COUNTIF('Plan setup'!$A$17:$A$21,$D30)=0,"Unknown deal type",IF($P30="Outside window","Clawback outside window: not reversed","OK"))))))</f>
        <v/>
      </c>
      <c r="S30">
        <f>AND(ISNUMBER($B30),OR($F30=Statement!$C$3,$H30=Statement!$C$3),OR(AND($B30&gt;=Statement!$C$6,$B30&lt;=Statement!$C$7),AND(ISNUMBER($Q30),$Q30&gt;=Statement!$C$6,$Q30&lt;=Statement!$C$7)))</f>
        <v/>
      </c>
      <c r="T30">
        <f>IF($S30,COUNTIF($S$2:$S30,TRUE),"")</f>
        <v/>
      </c>
      <c r="U30" s="17">
        <f>IF($F30=Statement!$C$3,$N30,0)+IF($H30=Statement!$C$3,$O30,0)</f>
        <v/>
      </c>
      <c r="V30" s="17">
        <f>IF(NOT($S30),0,IF(AND($B30&gt;=Statement!$C$6,$B30&lt;=Statement!$C$7),$U30,0)-IF(ISNUMBER($Q30),IF(AND($Q30&gt;=Statement!$C$6,$Q30&lt;=Statement!$C$7),$U30,0),0))</f>
        <v/>
      </c>
      <c r="W30" s="23">
        <f>IF($F30=Statement!$C$3,$G30,0)+IF($H30=Statement!$C$3,IF($I30="",0,$I30),0)</f>
        <v/>
      </c>
      <c r="X30">
        <f>IF(NOT($S30),"",IF(ISNUMBER($Q30),IF(AND($Q30&gt;=Statement!$C$6,$Q30&lt;=Statement!$C$7),"Clawback: credit reversed",""),"")&amp;IF(AND($B30&gt;=Statement!$C$6,$B30&lt;=Statement!$C$7,N($L30)&lt;1),"Partial credit: "&amp;TEXT($L30,"0%"),""))</f>
        <v/>
      </c>
    </row>
    <row r="31">
      <c r="A31" s="19" t="inlineStr">
        <is>
          <t>D-1030</t>
        </is>
      </c>
      <c r="B31" s="20" t="n">
        <v>46282</v>
      </c>
      <c r="C31" s="19" t="inlineStr">
        <is>
          <t>Sample account 30</t>
        </is>
      </c>
      <c r="D31" s="19" t="inlineStr">
        <is>
          <t>New business</t>
        </is>
      </c>
      <c r="E31" s="21" t="n">
        <v>90000</v>
      </c>
      <c r="F31" s="19" t="inlineStr">
        <is>
          <t>Priya Shah</t>
        </is>
      </c>
      <c r="G31" s="22" t="n">
        <v>1</v>
      </c>
      <c r="H31" s="19" t="n"/>
      <c r="I31" s="22" t="n"/>
      <c r="J31" s="20" t="n"/>
      <c r="K31" s="19" t="n"/>
      <c r="L31" s="23">
        <f>IF($E31="","",IFERROR(VLOOKUP($D31,'Plan setup'!$A$17:$B$21,2,FALSE),0))</f>
        <v/>
      </c>
      <c r="M31" s="17">
        <f>IF($E31="","",$E31*$L31)</f>
        <v/>
      </c>
      <c r="N31" s="17">
        <f>IF(OR($E31="",$F31=""),0,$M31*$G31)</f>
        <v/>
      </c>
      <c r="O31" s="17">
        <f>IF(OR($E31="",$H31=""),0,$M31*$I31)</f>
        <v/>
      </c>
      <c r="P31">
        <f>IF($J31="","",IF($J31-$B31&lt;='Plan setup'!$B$5,"Reversed","Outside window"))</f>
        <v/>
      </c>
      <c r="Q31" s="24">
        <f>IF($P31="Reversed",$J31,"")</f>
        <v/>
      </c>
      <c r="R31">
        <f>IF($E31="","",IF(ABS($G31+IF($I31="",0,$I31)-1)&gt;0.0001,"Splits must total 100%",IF(COUNTIF('Plan setup'!$A$25:$A$34,$F31)=0,"Rep 1 not in Plan setup",IF(IF($H31="",FALSE,COUNTIF('Plan setup'!$A$25:$A$34,$H31)=0),"Rep 2 not in Plan setup",IF(COUNTIF('Plan setup'!$A$17:$A$21,$D31)=0,"Unknown deal type",IF($P31="Outside window","Clawback outside window: not reversed","OK"))))))</f>
        <v/>
      </c>
      <c r="S31">
        <f>AND(ISNUMBER($B31),OR($F31=Statement!$C$3,$H31=Statement!$C$3),OR(AND($B31&gt;=Statement!$C$6,$B31&lt;=Statement!$C$7),AND(ISNUMBER($Q31),$Q31&gt;=Statement!$C$6,$Q31&lt;=Statement!$C$7)))</f>
        <v/>
      </c>
      <c r="T31">
        <f>IF($S31,COUNTIF($S$2:$S31,TRUE),"")</f>
        <v/>
      </c>
      <c r="U31" s="17">
        <f>IF($F31=Statement!$C$3,$N31,0)+IF($H31=Statement!$C$3,$O31,0)</f>
        <v/>
      </c>
      <c r="V31" s="17">
        <f>IF(NOT($S31),0,IF(AND($B31&gt;=Statement!$C$6,$B31&lt;=Statement!$C$7),$U31,0)-IF(ISNUMBER($Q31),IF(AND($Q31&gt;=Statement!$C$6,$Q31&lt;=Statement!$C$7),$U31,0),0))</f>
        <v/>
      </c>
      <c r="W31" s="23">
        <f>IF($F31=Statement!$C$3,$G31,0)+IF($H31=Statement!$C$3,IF($I31="",0,$I31),0)</f>
        <v/>
      </c>
      <c r="X31">
        <f>IF(NOT($S31),"",IF(ISNUMBER($Q31),IF(AND($Q31&gt;=Statement!$C$6,$Q31&lt;=Statement!$C$7),"Clawback: credit reversed",""),"")&amp;IF(AND($B31&gt;=Statement!$C$6,$B31&lt;=Statement!$C$7,N($L31)&lt;1),"Partial credit: "&amp;TEXT($L31,"0%"),""))</f>
        <v/>
      </c>
    </row>
    <row r="32">
      <c r="A32" s="19" t="inlineStr">
        <is>
          <t>D-1031</t>
        </is>
      </c>
      <c r="B32" s="20" t="n">
        <v>46290</v>
      </c>
      <c r="C32" s="19" t="inlineStr">
        <is>
          <t>Sample account 31</t>
        </is>
      </c>
      <c r="D32" s="19" t="inlineStr">
        <is>
          <t>Expansion</t>
        </is>
      </c>
      <c r="E32" s="21" t="n">
        <v>30000</v>
      </c>
      <c r="F32" s="19" t="inlineStr">
        <is>
          <t>Jordan Lee</t>
        </is>
      </c>
      <c r="G32" s="22" t="n">
        <v>1</v>
      </c>
      <c r="H32" s="19" t="n"/>
      <c r="I32" s="22" t="n"/>
      <c r="J32" s="20" t="n"/>
      <c r="K32" s="19" t="n"/>
      <c r="L32" s="23">
        <f>IF($E32="","",IFERROR(VLOOKUP($D32,'Plan setup'!$A$17:$B$21,2,FALSE),0))</f>
        <v/>
      </c>
      <c r="M32" s="17">
        <f>IF($E32="","",$E32*$L32)</f>
        <v/>
      </c>
      <c r="N32" s="17">
        <f>IF(OR($E32="",$F32=""),0,$M32*$G32)</f>
        <v/>
      </c>
      <c r="O32" s="17">
        <f>IF(OR($E32="",$H32=""),0,$M32*$I32)</f>
        <v/>
      </c>
      <c r="P32">
        <f>IF($J32="","",IF($J32-$B32&lt;='Plan setup'!$B$5,"Reversed","Outside window"))</f>
        <v/>
      </c>
      <c r="Q32" s="24">
        <f>IF($P32="Reversed",$J32,"")</f>
        <v/>
      </c>
      <c r="R32">
        <f>IF($E32="","",IF(ABS($G32+IF($I32="",0,$I32)-1)&gt;0.0001,"Splits must total 100%",IF(COUNTIF('Plan setup'!$A$25:$A$34,$F32)=0,"Rep 1 not in Plan setup",IF(IF($H32="",FALSE,COUNTIF('Plan setup'!$A$25:$A$34,$H32)=0),"Rep 2 not in Plan setup",IF(COUNTIF('Plan setup'!$A$17:$A$21,$D32)=0,"Unknown deal type",IF($P32="Outside window","Clawback outside window: not reversed","OK"))))))</f>
        <v/>
      </c>
      <c r="S32">
        <f>AND(ISNUMBER($B32),OR($F32=Statement!$C$3,$H32=Statement!$C$3),OR(AND($B32&gt;=Statement!$C$6,$B32&lt;=Statement!$C$7),AND(ISNUMBER($Q32),$Q32&gt;=Statement!$C$6,$Q32&lt;=Statement!$C$7)))</f>
        <v/>
      </c>
      <c r="T32">
        <f>IF($S32,COUNTIF($S$2:$S32,TRUE),"")</f>
        <v/>
      </c>
      <c r="U32" s="17">
        <f>IF($F32=Statement!$C$3,$N32,0)+IF($H32=Statement!$C$3,$O32,0)</f>
        <v/>
      </c>
      <c r="V32" s="17">
        <f>IF(NOT($S32),0,IF(AND($B32&gt;=Statement!$C$6,$B32&lt;=Statement!$C$7),$U32,0)-IF(ISNUMBER($Q32),IF(AND($Q32&gt;=Statement!$C$6,$Q32&lt;=Statement!$C$7),$U32,0),0))</f>
        <v/>
      </c>
      <c r="W32" s="23">
        <f>IF($F32=Statement!$C$3,$G32,0)+IF($H32=Statement!$C$3,IF($I32="",0,$I32),0)</f>
        <v/>
      </c>
      <c r="X32">
        <f>IF(NOT($S32),"",IF(ISNUMBER($Q32),IF(AND($Q32&gt;=Statement!$C$6,$Q32&lt;=Statement!$C$7),"Clawback: credit reversed",""),"")&amp;IF(AND($B32&gt;=Statement!$C$6,$B32&lt;=Statement!$C$7,N($L32)&lt;1),"Partial credit: "&amp;TEXT($L32,"0%"),""))</f>
        <v/>
      </c>
    </row>
    <row r="33">
      <c r="A33" s="19" t="inlineStr">
        <is>
          <t>D-1029</t>
        </is>
      </c>
      <c r="B33" s="20" t="n">
        <v>46294</v>
      </c>
      <c r="C33" s="19" t="inlineStr">
        <is>
          <t>Sample account 29</t>
        </is>
      </c>
      <c r="D33" s="19" t="inlineStr">
        <is>
          <t>New business</t>
        </is>
      </c>
      <c r="E33" s="21" t="n">
        <v>150000</v>
      </c>
      <c r="F33" s="19" t="inlineStr">
        <is>
          <t>Marcus Bell</t>
        </is>
      </c>
      <c r="G33" s="22" t="n">
        <v>1</v>
      </c>
      <c r="H33" s="19" t="n"/>
      <c r="I33" s="22" t="n"/>
      <c r="J33" s="20" t="n"/>
      <c r="K33" s="19" t="n"/>
      <c r="L33" s="23">
        <f>IF($E33="","",IFERROR(VLOOKUP($D33,'Plan setup'!$A$17:$B$21,2,FALSE),0))</f>
        <v/>
      </c>
      <c r="M33" s="17">
        <f>IF($E33="","",$E33*$L33)</f>
        <v/>
      </c>
      <c r="N33" s="17">
        <f>IF(OR($E33="",$F33=""),0,$M33*$G33)</f>
        <v/>
      </c>
      <c r="O33" s="17">
        <f>IF(OR($E33="",$H33=""),0,$M33*$I33)</f>
        <v/>
      </c>
      <c r="P33">
        <f>IF($J33="","",IF($J33-$B33&lt;='Plan setup'!$B$5,"Reversed","Outside window"))</f>
        <v/>
      </c>
      <c r="Q33" s="24">
        <f>IF($P33="Reversed",$J33,"")</f>
        <v/>
      </c>
      <c r="R33">
        <f>IF($E33="","",IF(ABS($G33+IF($I33="",0,$I33)-1)&gt;0.0001,"Splits must total 100%",IF(COUNTIF('Plan setup'!$A$25:$A$34,$F33)=0,"Rep 1 not in Plan setup",IF(IF($H33="",FALSE,COUNTIF('Plan setup'!$A$25:$A$34,$H33)=0),"Rep 2 not in Plan setup",IF(COUNTIF('Plan setup'!$A$17:$A$21,$D33)=0,"Unknown deal type",IF($P33="Outside window","Clawback outside window: not reversed","OK"))))))</f>
        <v/>
      </c>
      <c r="S33">
        <f>AND(ISNUMBER($B33),OR($F33=Statement!$C$3,$H33=Statement!$C$3),OR(AND($B33&gt;=Statement!$C$6,$B33&lt;=Statement!$C$7),AND(ISNUMBER($Q33),$Q33&gt;=Statement!$C$6,$Q33&lt;=Statement!$C$7)))</f>
        <v/>
      </c>
      <c r="T33">
        <f>IF($S33,COUNTIF($S$2:$S33,TRUE),"")</f>
        <v/>
      </c>
      <c r="U33" s="17">
        <f>IF($F33=Statement!$C$3,$N33,0)+IF($H33=Statement!$C$3,$O33,0)</f>
        <v/>
      </c>
      <c r="V33" s="17">
        <f>IF(NOT($S33),0,IF(AND($B33&gt;=Statement!$C$6,$B33&lt;=Statement!$C$7),$U33,0)-IF(ISNUMBER($Q33),IF(AND($Q33&gt;=Statement!$C$6,$Q33&lt;=Statement!$C$7),$U33,0),0))</f>
        <v/>
      </c>
      <c r="W33" s="23">
        <f>IF($F33=Statement!$C$3,$G33,0)+IF($H33=Statement!$C$3,IF($I33="",0,$I33),0)</f>
        <v/>
      </c>
      <c r="X33">
        <f>IF(NOT($S33),"",IF(ISNUMBER($Q33),IF(AND($Q33&gt;=Statement!$C$6,$Q33&lt;=Statement!$C$7),"Clawback: credit reversed",""),"")&amp;IF(AND($B33&gt;=Statement!$C$6,$B33&lt;=Statement!$C$7,N($L33)&lt;1),"Partial credit: "&amp;TEXT($L33,"0%"),""))</f>
        <v/>
      </c>
    </row>
    <row r="34">
      <c r="A34" s="19" t="n"/>
      <c r="B34" s="20" t="n"/>
      <c r="C34" s="19" t="n"/>
      <c r="D34" s="19" t="n"/>
      <c r="E34" s="21" t="n"/>
      <c r="F34" s="19" t="n"/>
      <c r="G34" s="22" t="n"/>
      <c r="H34" s="19" t="n"/>
      <c r="I34" s="22" t="n"/>
      <c r="J34" s="20" t="n"/>
      <c r="K34" s="19" t="n"/>
      <c r="L34" s="23">
        <f>IF($E34="","",IFERROR(VLOOKUP($D34,'Plan setup'!$A$17:$B$21,2,FALSE),0))</f>
        <v/>
      </c>
      <c r="M34" s="17">
        <f>IF($E34="","",$E34*$L34)</f>
        <v/>
      </c>
      <c r="N34" s="17">
        <f>IF(OR($E34="",$F34=""),0,$M34*$G34)</f>
        <v/>
      </c>
      <c r="O34" s="17">
        <f>IF(OR($E34="",$H34=""),0,$M34*$I34)</f>
        <v/>
      </c>
      <c r="P34">
        <f>IF($J34="","",IF($J34-$B34&lt;='Plan setup'!$B$5,"Reversed","Outside window"))</f>
        <v/>
      </c>
      <c r="Q34" s="24">
        <f>IF($P34="Reversed",$J34,"")</f>
        <v/>
      </c>
      <c r="R34">
        <f>IF($E34="","",IF(ABS($G34+IF($I34="",0,$I34)-1)&gt;0.0001,"Splits must total 100%",IF(COUNTIF('Plan setup'!$A$25:$A$34,$F34)=0,"Rep 1 not in Plan setup",IF(IF($H34="",FALSE,COUNTIF('Plan setup'!$A$25:$A$34,$H34)=0),"Rep 2 not in Plan setup",IF(COUNTIF('Plan setup'!$A$17:$A$21,$D34)=0,"Unknown deal type",IF($P34="Outside window","Clawback outside window: not reversed","OK"))))))</f>
        <v/>
      </c>
      <c r="S34">
        <f>AND(ISNUMBER($B34),OR($F34=Statement!$C$3,$H34=Statement!$C$3),OR(AND($B34&gt;=Statement!$C$6,$B34&lt;=Statement!$C$7),AND(ISNUMBER($Q34),$Q34&gt;=Statement!$C$6,$Q34&lt;=Statement!$C$7)))</f>
        <v/>
      </c>
      <c r="T34">
        <f>IF($S34,COUNTIF($S$2:$S34,TRUE),"")</f>
        <v/>
      </c>
      <c r="U34" s="17">
        <f>IF($F34=Statement!$C$3,$N34,0)+IF($H34=Statement!$C$3,$O34,0)</f>
        <v/>
      </c>
      <c r="V34" s="17">
        <f>IF(NOT($S34),0,IF(AND($B34&gt;=Statement!$C$6,$B34&lt;=Statement!$C$7),$U34,0)-IF(ISNUMBER($Q34),IF(AND($Q34&gt;=Statement!$C$6,$Q34&lt;=Statement!$C$7),$U34,0),0))</f>
        <v/>
      </c>
      <c r="W34" s="23">
        <f>IF($F34=Statement!$C$3,$G34,0)+IF($H34=Statement!$C$3,IF($I34="",0,$I34),0)</f>
        <v/>
      </c>
      <c r="X34">
        <f>IF(NOT($S34),"",IF(ISNUMBER($Q34),IF(AND($Q34&gt;=Statement!$C$6,$Q34&lt;=Statement!$C$7),"Clawback: credit reversed",""),"")&amp;IF(AND($B34&gt;=Statement!$C$6,$B34&lt;=Statement!$C$7,N($L34)&lt;1),"Partial credit: "&amp;TEXT($L34,"0%"),""))</f>
        <v/>
      </c>
    </row>
    <row r="35">
      <c r="A35" s="19" t="n"/>
      <c r="B35" s="20" t="n"/>
      <c r="C35" s="19" t="n"/>
      <c r="D35" s="19" t="n"/>
      <c r="E35" s="21" t="n"/>
      <c r="F35" s="19" t="n"/>
      <c r="G35" s="22" t="n"/>
      <c r="H35" s="19" t="n"/>
      <c r="I35" s="22" t="n"/>
      <c r="J35" s="20" t="n"/>
      <c r="K35" s="19" t="n"/>
      <c r="L35" s="23">
        <f>IF($E35="","",IFERROR(VLOOKUP($D35,'Plan setup'!$A$17:$B$21,2,FALSE),0))</f>
        <v/>
      </c>
      <c r="M35" s="17">
        <f>IF($E35="","",$E35*$L35)</f>
        <v/>
      </c>
      <c r="N35" s="17">
        <f>IF(OR($E35="",$F35=""),0,$M35*$G35)</f>
        <v/>
      </c>
      <c r="O35" s="17">
        <f>IF(OR($E35="",$H35=""),0,$M35*$I35)</f>
        <v/>
      </c>
      <c r="P35">
        <f>IF($J35="","",IF($J35-$B35&lt;='Plan setup'!$B$5,"Reversed","Outside window"))</f>
        <v/>
      </c>
      <c r="Q35" s="24">
        <f>IF($P35="Reversed",$J35,"")</f>
        <v/>
      </c>
      <c r="R35">
        <f>IF($E35="","",IF(ABS($G35+IF($I35="",0,$I35)-1)&gt;0.0001,"Splits must total 100%",IF(COUNTIF('Plan setup'!$A$25:$A$34,$F35)=0,"Rep 1 not in Plan setup",IF(IF($H35="",FALSE,COUNTIF('Plan setup'!$A$25:$A$34,$H35)=0),"Rep 2 not in Plan setup",IF(COUNTIF('Plan setup'!$A$17:$A$21,$D35)=0,"Unknown deal type",IF($P35="Outside window","Clawback outside window: not reversed","OK"))))))</f>
        <v/>
      </c>
      <c r="S35">
        <f>AND(ISNUMBER($B35),OR($F35=Statement!$C$3,$H35=Statement!$C$3),OR(AND($B35&gt;=Statement!$C$6,$B35&lt;=Statement!$C$7),AND(ISNUMBER($Q35),$Q35&gt;=Statement!$C$6,$Q35&lt;=Statement!$C$7)))</f>
        <v/>
      </c>
      <c r="T35">
        <f>IF($S35,COUNTIF($S$2:$S35,TRUE),"")</f>
        <v/>
      </c>
      <c r="U35" s="17">
        <f>IF($F35=Statement!$C$3,$N35,0)+IF($H35=Statement!$C$3,$O35,0)</f>
        <v/>
      </c>
      <c r="V35" s="17">
        <f>IF(NOT($S35),0,IF(AND($B35&gt;=Statement!$C$6,$B35&lt;=Statement!$C$7),$U35,0)-IF(ISNUMBER($Q35),IF(AND($Q35&gt;=Statement!$C$6,$Q35&lt;=Statement!$C$7),$U35,0),0))</f>
        <v/>
      </c>
      <c r="W35" s="23">
        <f>IF($F35=Statement!$C$3,$G35,0)+IF($H35=Statement!$C$3,IF($I35="",0,$I35),0)</f>
        <v/>
      </c>
      <c r="X35">
        <f>IF(NOT($S35),"",IF(ISNUMBER($Q35),IF(AND($Q35&gt;=Statement!$C$6,$Q35&lt;=Statement!$C$7),"Clawback: credit reversed",""),"")&amp;IF(AND($B35&gt;=Statement!$C$6,$B35&lt;=Statement!$C$7,N($L35)&lt;1),"Partial credit: "&amp;TEXT($L35,"0%"),""))</f>
        <v/>
      </c>
    </row>
    <row r="36">
      <c r="A36" s="19" t="n"/>
      <c r="B36" s="20" t="n"/>
      <c r="C36" s="19" t="n"/>
      <c r="D36" s="19" t="n"/>
      <c r="E36" s="21" t="n"/>
      <c r="F36" s="19" t="n"/>
      <c r="G36" s="22" t="n"/>
      <c r="H36" s="19" t="n"/>
      <c r="I36" s="22" t="n"/>
      <c r="J36" s="20" t="n"/>
      <c r="K36" s="19" t="n"/>
      <c r="L36" s="23">
        <f>IF($E36="","",IFERROR(VLOOKUP($D36,'Plan setup'!$A$17:$B$21,2,FALSE),0))</f>
        <v/>
      </c>
      <c r="M36" s="17">
        <f>IF($E36="","",$E36*$L36)</f>
        <v/>
      </c>
      <c r="N36" s="17">
        <f>IF(OR($E36="",$F36=""),0,$M36*$G36)</f>
        <v/>
      </c>
      <c r="O36" s="17">
        <f>IF(OR($E36="",$H36=""),0,$M36*$I36)</f>
        <v/>
      </c>
      <c r="P36">
        <f>IF($J36="","",IF($J36-$B36&lt;='Plan setup'!$B$5,"Reversed","Outside window"))</f>
        <v/>
      </c>
      <c r="Q36" s="24">
        <f>IF($P36="Reversed",$J36,"")</f>
        <v/>
      </c>
      <c r="R36">
        <f>IF($E36="","",IF(ABS($G36+IF($I36="",0,$I36)-1)&gt;0.0001,"Splits must total 100%",IF(COUNTIF('Plan setup'!$A$25:$A$34,$F36)=0,"Rep 1 not in Plan setup",IF(IF($H36="",FALSE,COUNTIF('Plan setup'!$A$25:$A$34,$H36)=0),"Rep 2 not in Plan setup",IF(COUNTIF('Plan setup'!$A$17:$A$21,$D36)=0,"Unknown deal type",IF($P36="Outside window","Clawback outside window: not reversed","OK"))))))</f>
        <v/>
      </c>
      <c r="S36">
        <f>AND(ISNUMBER($B36),OR($F36=Statement!$C$3,$H36=Statement!$C$3),OR(AND($B36&gt;=Statement!$C$6,$B36&lt;=Statement!$C$7),AND(ISNUMBER($Q36),$Q36&gt;=Statement!$C$6,$Q36&lt;=Statement!$C$7)))</f>
        <v/>
      </c>
      <c r="T36">
        <f>IF($S36,COUNTIF($S$2:$S36,TRUE),"")</f>
        <v/>
      </c>
      <c r="U36" s="17">
        <f>IF($F36=Statement!$C$3,$N36,0)+IF($H36=Statement!$C$3,$O36,0)</f>
        <v/>
      </c>
      <c r="V36" s="17">
        <f>IF(NOT($S36),0,IF(AND($B36&gt;=Statement!$C$6,$B36&lt;=Statement!$C$7),$U36,0)-IF(ISNUMBER($Q36),IF(AND($Q36&gt;=Statement!$C$6,$Q36&lt;=Statement!$C$7),$U36,0),0))</f>
        <v/>
      </c>
      <c r="W36" s="23">
        <f>IF($F36=Statement!$C$3,$G36,0)+IF($H36=Statement!$C$3,IF($I36="",0,$I36),0)</f>
        <v/>
      </c>
      <c r="X36">
        <f>IF(NOT($S36),"",IF(ISNUMBER($Q36),IF(AND($Q36&gt;=Statement!$C$6,$Q36&lt;=Statement!$C$7),"Clawback: credit reversed",""),"")&amp;IF(AND($B36&gt;=Statement!$C$6,$B36&lt;=Statement!$C$7,N($L36)&lt;1),"Partial credit: "&amp;TEXT($L36,"0%"),""))</f>
        <v/>
      </c>
    </row>
    <row r="37">
      <c r="A37" s="19" t="n"/>
      <c r="B37" s="20" t="n"/>
      <c r="C37" s="19" t="n"/>
      <c r="D37" s="19" t="n"/>
      <c r="E37" s="21" t="n"/>
      <c r="F37" s="19" t="n"/>
      <c r="G37" s="22" t="n"/>
      <c r="H37" s="19" t="n"/>
      <c r="I37" s="22" t="n"/>
      <c r="J37" s="20" t="n"/>
      <c r="K37" s="19" t="n"/>
      <c r="L37" s="23">
        <f>IF($E37="","",IFERROR(VLOOKUP($D37,'Plan setup'!$A$17:$B$21,2,FALSE),0))</f>
        <v/>
      </c>
      <c r="M37" s="17">
        <f>IF($E37="","",$E37*$L37)</f>
        <v/>
      </c>
      <c r="N37" s="17">
        <f>IF(OR($E37="",$F37=""),0,$M37*$G37)</f>
        <v/>
      </c>
      <c r="O37" s="17">
        <f>IF(OR($E37="",$H37=""),0,$M37*$I37)</f>
        <v/>
      </c>
      <c r="P37">
        <f>IF($J37="","",IF($J37-$B37&lt;='Plan setup'!$B$5,"Reversed","Outside window"))</f>
        <v/>
      </c>
      <c r="Q37" s="24">
        <f>IF($P37="Reversed",$J37,"")</f>
        <v/>
      </c>
      <c r="R37">
        <f>IF($E37="","",IF(ABS($G37+IF($I37="",0,$I37)-1)&gt;0.0001,"Splits must total 100%",IF(COUNTIF('Plan setup'!$A$25:$A$34,$F37)=0,"Rep 1 not in Plan setup",IF(IF($H37="",FALSE,COUNTIF('Plan setup'!$A$25:$A$34,$H37)=0),"Rep 2 not in Plan setup",IF(COUNTIF('Plan setup'!$A$17:$A$21,$D37)=0,"Unknown deal type",IF($P37="Outside window","Clawback outside window: not reversed","OK"))))))</f>
        <v/>
      </c>
      <c r="S37">
        <f>AND(ISNUMBER($B37),OR($F37=Statement!$C$3,$H37=Statement!$C$3),OR(AND($B37&gt;=Statement!$C$6,$B37&lt;=Statement!$C$7),AND(ISNUMBER($Q37),$Q37&gt;=Statement!$C$6,$Q37&lt;=Statement!$C$7)))</f>
        <v/>
      </c>
      <c r="T37">
        <f>IF($S37,COUNTIF($S$2:$S37,TRUE),"")</f>
        <v/>
      </c>
      <c r="U37" s="17">
        <f>IF($F37=Statement!$C$3,$N37,0)+IF($H37=Statement!$C$3,$O37,0)</f>
        <v/>
      </c>
      <c r="V37" s="17">
        <f>IF(NOT($S37),0,IF(AND($B37&gt;=Statement!$C$6,$B37&lt;=Statement!$C$7),$U37,0)-IF(ISNUMBER($Q37),IF(AND($Q37&gt;=Statement!$C$6,$Q37&lt;=Statement!$C$7),$U37,0),0))</f>
        <v/>
      </c>
      <c r="W37" s="23">
        <f>IF($F37=Statement!$C$3,$G37,0)+IF($H37=Statement!$C$3,IF($I37="",0,$I37),0)</f>
        <v/>
      </c>
      <c r="X37">
        <f>IF(NOT($S37),"",IF(ISNUMBER($Q37),IF(AND($Q37&gt;=Statement!$C$6,$Q37&lt;=Statement!$C$7),"Clawback: credit reversed",""),"")&amp;IF(AND($B37&gt;=Statement!$C$6,$B37&lt;=Statement!$C$7,N($L37)&lt;1),"Partial credit: "&amp;TEXT($L37,"0%"),""))</f>
        <v/>
      </c>
    </row>
    <row r="38">
      <c r="A38" s="19" t="n"/>
      <c r="B38" s="20" t="n"/>
      <c r="C38" s="19" t="n"/>
      <c r="D38" s="19" t="n"/>
      <c r="E38" s="21" t="n"/>
      <c r="F38" s="19" t="n"/>
      <c r="G38" s="22" t="n"/>
      <c r="H38" s="19" t="n"/>
      <c r="I38" s="22" t="n"/>
      <c r="J38" s="20" t="n"/>
      <c r="K38" s="19" t="n"/>
      <c r="L38" s="23">
        <f>IF($E38="","",IFERROR(VLOOKUP($D38,'Plan setup'!$A$17:$B$21,2,FALSE),0))</f>
        <v/>
      </c>
      <c r="M38" s="17">
        <f>IF($E38="","",$E38*$L38)</f>
        <v/>
      </c>
      <c r="N38" s="17">
        <f>IF(OR($E38="",$F38=""),0,$M38*$G38)</f>
        <v/>
      </c>
      <c r="O38" s="17">
        <f>IF(OR($E38="",$H38=""),0,$M38*$I38)</f>
        <v/>
      </c>
      <c r="P38">
        <f>IF($J38="","",IF($J38-$B38&lt;='Plan setup'!$B$5,"Reversed","Outside window"))</f>
        <v/>
      </c>
      <c r="Q38" s="24">
        <f>IF($P38="Reversed",$J38,"")</f>
        <v/>
      </c>
      <c r="R38">
        <f>IF($E38="","",IF(ABS($G38+IF($I38="",0,$I38)-1)&gt;0.0001,"Splits must total 100%",IF(COUNTIF('Plan setup'!$A$25:$A$34,$F38)=0,"Rep 1 not in Plan setup",IF(IF($H38="",FALSE,COUNTIF('Plan setup'!$A$25:$A$34,$H38)=0),"Rep 2 not in Plan setup",IF(COUNTIF('Plan setup'!$A$17:$A$21,$D38)=0,"Unknown deal type",IF($P38="Outside window","Clawback outside window: not reversed","OK"))))))</f>
        <v/>
      </c>
      <c r="S38">
        <f>AND(ISNUMBER($B38),OR($F38=Statement!$C$3,$H38=Statement!$C$3),OR(AND($B38&gt;=Statement!$C$6,$B38&lt;=Statement!$C$7),AND(ISNUMBER($Q38),$Q38&gt;=Statement!$C$6,$Q38&lt;=Statement!$C$7)))</f>
        <v/>
      </c>
      <c r="T38">
        <f>IF($S38,COUNTIF($S$2:$S38,TRUE),"")</f>
        <v/>
      </c>
      <c r="U38" s="17">
        <f>IF($F38=Statement!$C$3,$N38,0)+IF($H38=Statement!$C$3,$O38,0)</f>
        <v/>
      </c>
      <c r="V38" s="17">
        <f>IF(NOT($S38),0,IF(AND($B38&gt;=Statement!$C$6,$B38&lt;=Statement!$C$7),$U38,0)-IF(ISNUMBER($Q38),IF(AND($Q38&gt;=Statement!$C$6,$Q38&lt;=Statement!$C$7),$U38,0),0))</f>
        <v/>
      </c>
      <c r="W38" s="23">
        <f>IF($F38=Statement!$C$3,$G38,0)+IF($H38=Statement!$C$3,IF($I38="",0,$I38),0)</f>
        <v/>
      </c>
      <c r="X38">
        <f>IF(NOT($S38),"",IF(ISNUMBER($Q38),IF(AND($Q38&gt;=Statement!$C$6,$Q38&lt;=Statement!$C$7),"Clawback: credit reversed",""),"")&amp;IF(AND($B38&gt;=Statement!$C$6,$B38&lt;=Statement!$C$7,N($L38)&lt;1),"Partial credit: "&amp;TEXT($L38,"0%"),""))</f>
        <v/>
      </c>
    </row>
    <row r="39">
      <c r="A39" s="19" t="n"/>
      <c r="B39" s="20" t="n"/>
      <c r="C39" s="19" t="n"/>
      <c r="D39" s="19" t="n"/>
      <c r="E39" s="21" t="n"/>
      <c r="F39" s="19" t="n"/>
      <c r="G39" s="22" t="n"/>
      <c r="H39" s="19" t="n"/>
      <c r="I39" s="22" t="n"/>
      <c r="J39" s="20" t="n"/>
      <c r="K39" s="19" t="n"/>
      <c r="L39" s="23">
        <f>IF($E39="","",IFERROR(VLOOKUP($D39,'Plan setup'!$A$17:$B$21,2,FALSE),0))</f>
        <v/>
      </c>
      <c r="M39" s="17">
        <f>IF($E39="","",$E39*$L39)</f>
        <v/>
      </c>
      <c r="N39" s="17">
        <f>IF(OR($E39="",$F39=""),0,$M39*$G39)</f>
        <v/>
      </c>
      <c r="O39" s="17">
        <f>IF(OR($E39="",$H39=""),0,$M39*$I39)</f>
        <v/>
      </c>
      <c r="P39">
        <f>IF($J39="","",IF($J39-$B39&lt;='Plan setup'!$B$5,"Reversed","Outside window"))</f>
        <v/>
      </c>
      <c r="Q39" s="24">
        <f>IF($P39="Reversed",$J39,"")</f>
        <v/>
      </c>
      <c r="R39">
        <f>IF($E39="","",IF(ABS($G39+IF($I39="",0,$I39)-1)&gt;0.0001,"Splits must total 100%",IF(COUNTIF('Plan setup'!$A$25:$A$34,$F39)=0,"Rep 1 not in Plan setup",IF(IF($H39="",FALSE,COUNTIF('Plan setup'!$A$25:$A$34,$H39)=0),"Rep 2 not in Plan setup",IF(COUNTIF('Plan setup'!$A$17:$A$21,$D39)=0,"Unknown deal type",IF($P39="Outside window","Clawback outside window: not reversed","OK"))))))</f>
        <v/>
      </c>
      <c r="S39">
        <f>AND(ISNUMBER($B39),OR($F39=Statement!$C$3,$H39=Statement!$C$3),OR(AND($B39&gt;=Statement!$C$6,$B39&lt;=Statement!$C$7),AND(ISNUMBER($Q39),$Q39&gt;=Statement!$C$6,$Q39&lt;=Statement!$C$7)))</f>
        <v/>
      </c>
      <c r="T39">
        <f>IF($S39,COUNTIF($S$2:$S39,TRUE),"")</f>
        <v/>
      </c>
      <c r="U39" s="17">
        <f>IF($F39=Statement!$C$3,$N39,0)+IF($H39=Statement!$C$3,$O39,0)</f>
        <v/>
      </c>
      <c r="V39" s="17">
        <f>IF(NOT($S39),0,IF(AND($B39&gt;=Statement!$C$6,$B39&lt;=Statement!$C$7),$U39,0)-IF(ISNUMBER($Q39),IF(AND($Q39&gt;=Statement!$C$6,$Q39&lt;=Statement!$C$7),$U39,0),0))</f>
        <v/>
      </c>
      <c r="W39" s="23">
        <f>IF($F39=Statement!$C$3,$G39,0)+IF($H39=Statement!$C$3,IF($I39="",0,$I39),0)</f>
        <v/>
      </c>
      <c r="X39">
        <f>IF(NOT($S39),"",IF(ISNUMBER($Q39),IF(AND($Q39&gt;=Statement!$C$6,$Q39&lt;=Statement!$C$7),"Clawback: credit reversed",""),"")&amp;IF(AND($B39&gt;=Statement!$C$6,$B39&lt;=Statement!$C$7,N($L39)&lt;1),"Partial credit: "&amp;TEXT($L39,"0%"),""))</f>
        <v/>
      </c>
    </row>
    <row r="40">
      <c r="A40" s="19" t="n"/>
      <c r="B40" s="20" t="n"/>
      <c r="C40" s="19" t="n"/>
      <c r="D40" s="19" t="n"/>
      <c r="E40" s="21" t="n"/>
      <c r="F40" s="19" t="n"/>
      <c r="G40" s="22" t="n"/>
      <c r="H40" s="19" t="n"/>
      <c r="I40" s="22" t="n"/>
      <c r="J40" s="20" t="n"/>
      <c r="K40" s="19" t="n"/>
      <c r="L40" s="23">
        <f>IF($E40="","",IFERROR(VLOOKUP($D40,'Plan setup'!$A$17:$B$21,2,FALSE),0))</f>
        <v/>
      </c>
      <c r="M40" s="17">
        <f>IF($E40="","",$E40*$L40)</f>
        <v/>
      </c>
      <c r="N40" s="17">
        <f>IF(OR($E40="",$F40=""),0,$M40*$G40)</f>
        <v/>
      </c>
      <c r="O40" s="17">
        <f>IF(OR($E40="",$H40=""),0,$M40*$I40)</f>
        <v/>
      </c>
      <c r="P40">
        <f>IF($J40="","",IF($J40-$B40&lt;='Plan setup'!$B$5,"Reversed","Outside window"))</f>
        <v/>
      </c>
      <c r="Q40" s="24">
        <f>IF($P40="Reversed",$J40,"")</f>
        <v/>
      </c>
      <c r="R40">
        <f>IF($E40="","",IF(ABS($G40+IF($I40="",0,$I40)-1)&gt;0.0001,"Splits must total 100%",IF(COUNTIF('Plan setup'!$A$25:$A$34,$F40)=0,"Rep 1 not in Plan setup",IF(IF($H40="",FALSE,COUNTIF('Plan setup'!$A$25:$A$34,$H40)=0),"Rep 2 not in Plan setup",IF(COUNTIF('Plan setup'!$A$17:$A$21,$D40)=0,"Unknown deal type",IF($P40="Outside window","Clawback outside window: not reversed","OK"))))))</f>
        <v/>
      </c>
      <c r="S40">
        <f>AND(ISNUMBER($B40),OR($F40=Statement!$C$3,$H40=Statement!$C$3),OR(AND($B40&gt;=Statement!$C$6,$B40&lt;=Statement!$C$7),AND(ISNUMBER($Q40),$Q40&gt;=Statement!$C$6,$Q40&lt;=Statement!$C$7)))</f>
        <v/>
      </c>
      <c r="T40">
        <f>IF($S40,COUNTIF($S$2:$S40,TRUE),"")</f>
        <v/>
      </c>
      <c r="U40" s="17">
        <f>IF($F40=Statement!$C$3,$N40,0)+IF($H40=Statement!$C$3,$O40,0)</f>
        <v/>
      </c>
      <c r="V40" s="17">
        <f>IF(NOT($S40),0,IF(AND($B40&gt;=Statement!$C$6,$B40&lt;=Statement!$C$7),$U40,0)-IF(ISNUMBER($Q40),IF(AND($Q40&gt;=Statement!$C$6,$Q40&lt;=Statement!$C$7),$U40,0),0))</f>
        <v/>
      </c>
      <c r="W40" s="23">
        <f>IF($F40=Statement!$C$3,$G40,0)+IF($H40=Statement!$C$3,IF($I40="",0,$I40),0)</f>
        <v/>
      </c>
      <c r="X40">
        <f>IF(NOT($S40),"",IF(ISNUMBER($Q40),IF(AND($Q40&gt;=Statement!$C$6,$Q40&lt;=Statement!$C$7),"Clawback: credit reversed",""),"")&amp;IF(AND($B40&gt;=Statement!$C$6,$B40&lt;=Statement!$C$7,N($L40)&lt;1),"Partial credit: "&amp;TEXT($L40,"0%"),""))</f>
        <v/>
      </c>
    </row>
    <row r="41">
      <c r="A41" s="19" t="n"/>
      <c r="B41" s="20" t="n"/>
      <c r="C41" s="19" t="n"/>
      <c r="D41" s="19" t="n"/>
      <c r="E41" s="21" t="n"/>
      <c r="F41" s="19" t="n"/>
      <c r="G41" s="22" t="n"/>
      <c r="H41" s="19" t="n"/>
      <c r="I41" s="22" t="n"/>
      <c r="J41" s="20" t="n"/>
      <c r="K41" s="19" t="n"/>
      <c r="L41" s="23">
        <f>IF($E41="","",IFERROR(VLOOKUP($D41,'Plan setup'!$A$17:$B$21,2,FALSE),0))</f>
        <v/>
      </c>
      <c r="M41" s="17">
        <f>IF($E41="","",$E41*$L41)</f>
        <v/>
      </c>
      <c r="N41" s="17">
        <f>IF(OR($E41="",$F41=""),0,$M41*$G41)</f>
        <v/>
      </c>
      <c r="O41" s="17">
        <f>IF(OR($E41="",$H41=""),0,$M41*$I41)</f>
        <v/>
      </c>
      <c r="P41">
        <f>IF($J41="","",IF($J41-$B41&lt;='Plan setup'!$B$5,"Reversed","Outside window"))</f>
        <v/>
      </c>
      <c r="Q41" s="24">
        <f>IF($P41="Reversed",$J41,"")</f>
        <v/>
      </c>
      <c r="R41">
        <f>IF($E41="","",IF(ABS($G41+IF($I41="",0,$I41)-1)&gt;0.0001,"Splits must total 100%",IF(COUNTIF('Plan setup'!$A$25:$A$34,$F41)=0,"Rep 1 not in Plan setup",IF(IF($H41="",FALSE,COUNTIF('Plan setup'!$A$25:$A$34,$H41)=0),"Rep 2 not in Plan setup",IF(COUNTIF('Plan setup'!$A$17:$A$21,$D41)=0,"Unknown deal type",IF($P41="Outside window","Clawback outside window: not reversed","OK"))))))</f>
        <v/>
      </c>
      <c r="S41">
        <f>AND(ISNUMBER($B41),OR($F41=Statement!$C$3,$H41=Statement!$C$3),OR(AND($B41&gt;=Statement!$C$6,$B41&lt;=Statement!$C$7),AND(ISNUMBER($Q41),$Q41&gt;=Statement!$C$6,$Q41&lt;=Statement!$C$7)))</f>
        <v/>
      </c>
      <c r="T41">
        <f>IF($S41,COUNTIF($S$2:$S41,TRUE),"")</f>
        <v/>
      </c>
      <c r="U41" s="17">
        <f>IF($F41=Statement!$C$3,$N41,0)+IF($H41=Statement!$C$3,$O41,0)</f>
        <v/>
      </c>
      <c r="V41" s="17">
        <f>IF(NOT($S41),0,IF(AND($B41&gt;=Statement!$C$6,$B41&lt;=Statement!$C$7),$U41,0)-IF(ISNUMBER($Q41),IF(AND($Q41&gt;=Statement!$C$6,$Q41&lt;=Statement!$C$7),$U41,0),0))</f>
        <v/>
      </c>
      <c r="W41" s="23">
        <f>IF($F41=Statement!$C$3,$G41,0)+IF($H41=Statement!$C$3,IF($I41="",0,$I41),0)</f>
        <v/>
      </c>
      <c r="X41">
        <f>IF(NOT($S41),"",IF(ISNUMBER($Q41),IF(AND($Q41&gt;=Statement!$C$6,$Q41&lt;=Statement!$C$7),"Clawback: credit reversed",""),"")&amp;IF(AND($B41&gt;=Statement!$C$6,$B41&lt;=Statement!$C$7,N($L41)&lt;1),"Partial credit: "&amp;TEXT($L41,"0%"),""))</f>
        <v/>
      </c>
    </row>
    <row r="42">
      <c r="A42" s="19" t="n"/>
      <c r="B42" s="20" t="n"/>
      <c r="C42" s="19" t="n"/>
      <c r="D42" s="19" t="n"/>
      <c r="E42" s="21" t="n"/>
      <c r="F42" s="19" t="n"/>
      <c r="G42" s="22" t="n"/>
      <c r="H42" s="19" t="n"/>
      <c r="I42" s="22" t="n"/>
      <c r="J42" s="20" t="n"/>
      <c r="K42" s="19" t="n"/>
      <c r="L42" s="23">
        <f>IF($E42="","",IFERROR(VLOOKUP($D42,'Plan setup'!$A$17:$B$21,2,FALSE),0))</f>
        <v/>
      </c>
      <c r="M42" s="17">
        <f>IF($E42="","",$E42*$L42)</f>
        <v/>
      </c>
      <c r="N42" s="17">
        <f>IF(OR($E42="",$F42=""),0,$M42*$G42)</f>
        <v/>
      </c>
      <c r="O42" s="17">
        <f>IF(OR($E42="",$H42=""),0,$M42*$I42)</f>
        <v/>
      </c>
      <c r="P42">
        <f>IF($J42="","",IF($J42-$B42&lt;='Plan setup'!$B$5,"Reversed","Outside window"))</f>
        <v/>
      </c>
      <c r="Q42" s="24">
        <f>IF($P42="Reversed",$J42,"")</f>
        <v/>
      </c>
      <c r="R42">
        <f>IF($E42="","",IF(ABS($G42+IF($I42="",0,$I42)-1)&gt;0.0001,"Splits must total 100%",IF(COUNTIF('Plan setup'!$A$25:$A$34,$F42)=0,"Rep 1 not in Plan setup",IF(IF($H42="",FALSE,COUNTIF('Plan setup'!$A$25:$A$34,$H42)=0),"Rep 2 not in Plan setup",IF(COUNTIF('Plan setup'!$A$17:$A$21,$D42)=0,"Unknown deal type",IF($P42="Outside window","Clawback outside window: not reversed","OK"))))))</f>
        <v/>
      </c>
      <c r="S42">
        <f>AND(ISNUMBER($B42),OR($F42=Statement!$C$3,$H42=Statement!$C$3),OR(AND($B42&gt;=Statement!$C$6,$B42&lt;=Statement!$C$7),AND(ISNUMBER($Q42),$Q42&gt;=Statement!$C$6,$Q42&lt;=Statement!$C$7)))</f>
        <v/>
      </c>
      <c r="T42">
        <f>IF($S42,COUNTIF($S$2:$S42,TRUE),"")</f>
        <v/>
      </c>
      <c r="U42" s="17">
        <f>IF($F42=Statement!$C$3,$N42,0)+IF($H42=Statement!$C$3,$O42,0)</f>
        <v/>
      </c>
      <c r="V42" s="17">
        <f>IF(NOT($S42),0,IF(AND($B42&gt;=Statement!$C$6,$B42&lt;=Statement!$C$7),$U42,0)-IF(ISNUMBER($Q42),IF(AND($Q42&gt;=Statement!$C$6,$Q42&lt;=Statement!$C$7),$U42,0),0))</f>
        <v/>
      </c>
      <c r="W42" s="23">
        <f>IF($F42=Statement!$C$3,$G42,0)+IF($H42=Statement!$C$3,IF($I42="",0,$I42),0)</f>
        <v/>
      </c>
      <c r="X42">
        <f>IF(NOT($S42),"",IF(ISNUMBER($Q42),IF(AND($Q42&gt;=Statement!$C$6,$Q42&lt;=Statement!$C$7),"Clawback: credit reversed",""),"")&amp;IF(AND($B42&gt;=Statement!$C$6,$B42&lt;=Statement!$C$7,N($L42)&lt;1),"Partial credit: "&amp;TEXT($L42,"0%"),""))</f>
        <v/>
      </c>
    </row>
    <row r="43">
      <c r="A43" s="19" t="n"/>
      <c r="B43" s="20" t="n"/>
      <c r="C43" s="19" t="n"/>
      <c r="D43" s="19" t="n"/>
      <c r="E43" s="21" t="n"/>
      <c r="F43" s="19" t="n"/>
      <c r="G43" s="22" t="n"/>
      <c r="H43" s="19" t="n"/>
      <c r="I43" s="22" t="n"/>
      <c r="J43" s="20" t="n"/>
      <c r="K43" s="19" t="n"/>
      <c r="L43" s="23">
        <f>IF($E43="","",IFERROR(VLOOKUP($D43,'Plan setup'!$A$17:$B$21,2,FALSE),0))</f>
        <v/>
      </c>
      <c r="M43" s="17">
        <f>IF($E43="","",$E43*$L43)</f>
        <v/>
      </c>
      <c r="N43" s="17">
        <f>IF(OR($E43="",$F43=""),0,$M43*$G43)</f>
        <v/>
      </c>
      <c r="O43" s="17">
        <f>IF(OR($E43="",$H43=""),0,$M43*$I43)</f>
        <v/>
      </c>
      <c r="P43">
        <f>IF($J43="","",IF($J43-$B43&lt;='Plan setup'!$B$5,"Reversed","Outside window"))</f>
        <v/>
      </c>
      <c r="Q43" s="24">
        <f>IF($P43="Reversed",$J43,"")</f>
        <v/>
      </c>
      <c r="R43">
        <f>IF($E43="","",IF(ABS($G43+IF($I43="",0,$I43)-1)&gt;0.0001,"Splits must total 100%",IF(COUNTIF('Plan setup'!$A$25:$A$34,$F43)=0,"Rep 1 not in Plan setup",IF(IF($H43="",FALSE,COUNTIF('Plan setup'!$A$25:$A$34,$H43)=0),"Rep 2 not in Plan setup",IF(COUNTIF('Plan setup'!$A$17:$A$21,$D43)=0,"Unknown deal type",IF($P43="Outside window","Clawback outside window: not reversed","OK"))))))</f>
        <v/>
      </c>
      <c r="S43">
        <f>AND(ISNUMBER($B43),OR($F43=Statement!$C$3,$H43=Statement!$C$3),OR(AND($B43&gt;=Statement!$C$6,$B43&lt;=Statement!$C$7),AND(ISNUMBER($Q43),$Q43&gt;=Statement!$C$6,$Q43&lt;=Statement!$C$7)))</f>
        <v/>
      </c>
      <c r="T43">
        <f>IF($S43,COUNTIF($S$2:$S43,TRUE),"")</f>
        <v/>
      </c>
      <c r="U43" s="17">
        <f>IF($F43=Statement!$C$3,$N43,0)+IF($H43=Statement!$C$3,$O43,0)</f>
        <v/>
      </c>
      <c r="V43" s="17">
        <f>IF(NOT($S43),0,IF(AND($B43&gt;=Statement!$C$6,$B43&lt;=Statement!$C$7),$U43,0)-IF(ISNUMBER($Q43),IF(AND($Q43&gt;=Statement!$C$6,$Q43&lt;=Statement!$C$7),$U43,0),0))</f>
        <v/>
      </c>
      <c r="W43" s="23">
        <f>IF($F43=Statement!$C$3,$G43,0)+IF($H43=Statement!$C$3,IF($I43="",0,$I43),0)</f>
        <v/>
      </c>
      <c r="X43">
        <f>IF(NOT($S43),"",IF(ISNUMBER($Q43),IF(AND($Q43&gt;=Statement!$C$6,$Q43&lt;=Statement!$C$7),"Clawback: credit reversed",""),"")&amp;IF(AND($B43&gt;=Statement!$C$6,$B43&lt;=Statement!$C$7,N($L43)&lt;1),"Partial credit: "&amp;TEXT($L43,"0%"),""))</f>
        <v/>
      </c>
    </row>
    <row r="44">
      <c r="A44" s="19" t="n"/>
      <c r="B44" s="20" t="n"/>
      <c r="C44" s="19" t="n"/>
      <c r="D44" s="19" t="n"/>
      <c r="E44" s="21" t="n"/>
      <c r="F44" s="19" t="n"/>
      <c r="G44" s="22" t="n"/>
      <c r="H44" s="19" t="n"/>
      <c r="I44" s="22" t="n"/>
      <c r="J44" s="20" t="n"/>
      <c r="K44" s="19" t="n"/>
      <c r="L44" s="23">
        <f>IF($E44="","",IFERROR(VLOOKUP($D44,'Plan setup'!$A$17:$B$21,2,FALSE),0))</f>
        <v/>
      </c>
      <c r="M44" s="17">
        <f>IF($E44="","",$E44*$L44)</f>
        <v/>
      </c>
      <c r="N44" s="17">
        <f>IF(OR($E44="",$F44=""),0,$M44*$G44)</f>
        <v/>
      </c>
      <c r="O44" s="17">
        <f>IF(OR($E44="",$H44=""),0,$M44*$I44)</f>
        <v/>
      </c>
      <c r="P44">
        <f>IF($J44="","",IF($J44-$B44&lt;='Plan setup'!$B$5,"Reversed","Outside window"))</f>
        <v/>
      </c>
      <c r="Q44" s="24">
        <f>IF($P44="Reversed",$J44,"")</f>
        <v/>
      </c>
      <c r="R44">
        <f>IF($E44="","",IF(ABS($G44+IF($I44="",0,$I44)-1)&gt;0.0001,"Splits must total 100%",IF(COUNTIF('Plan setup'!$A$25:$A$34,$F44)=0,"Rep 1 not in Plan setup",IF(IF($H44="",FALSE,COUNTIF('Plan setup'!$A$25:$A$34,$H44)=0),"Rep 2 not in Plan setup",IF(COUNTIF('Plan setup'!$A$17:$A$21,$D44)=0,"Unknown deal type",IF($P44="Outside window","Clawback outside window: not reversed","OK"))))))</f>
        <v/>
      </c>
      <c r="S44">
        <f>AND(ISNUMBER($B44),OR($F44=Statement!$C$3,$H44=Statement!$C$3),OR(AND($B44&gt;=Statement!$C$6,$B44&lt;=Statement!$C$7),AND(ISNUMBER($Q44),$Q44&gt;=Statement!$C$6,$Q44&lt;=Statement!$C$7)))</f>
        <v/>
      </c>
      <c r="T44">
        <f>IF($S44,COUNTIF($S$2:$S44,TRUE),"")</f>
        <v/>
      </c>
      <c r="U44" s="17">
        <f>IF($F44=Statement!$C$3,$N44,0)+IF($H44=Statement!$C$3,$O44,0)</f>
        <v/>
      </c>
      <c r="V44" s="17">
        <f>IF(NOT($S44),0,IF(AND($B44&gt;=Statement!$C$6,$B44&lt;=Statement!$C$7),$U44,0)-IF(ISNUMBER($Q44),IF(AND($Q44&gt;=Statement!$C$6,$Q44&lt;=Statement!$C$7),$U44,0),0))</f>
        <v/>
      </c>
      <c r="W44" s="23">
        <f>IF($F44=Statement!$C$3,$G44,0)+IF($H44=Statement!$C$3,IF($I44="",0,$I44),0)</f>
        <v/>
      </c>
      <c r="X44">
        <f>IF(NOT($S44),"",IF(ISNUMBER($Q44),IF(AND($Q44&gt;=Statement!$C$6,$Q44&lt;=Statement!$C$7),"Clawback: credit reversed",""),"")&amp;IF(AND($B44&gt;=Statement!$C$6,$B44&lt;=Statement!$C$7,N($L44)&lt;1),"Partial credit: "&amp;TEXT($L44,"0%"),""))</f>
        <v/>
      </c>
    </row>
    <row r="45">
      <c r="A45" s="19" t="n"/>
      <c r="B45" s="20" t="n"/>
      <c r="C45" s="19" t="n"/>
      <c r="D45" s="19" t="n"/>
      <c r="E45" s="21" t="n"/>
      <c r="F45" s="19" t="n"/>
      <c r="G45" s="22" t="n"/>
      <c r="H45" s="19" t="n"/>
      <c r="I45" s="22" t="n"/>
      <c r="J45" s="20" t="n"/>
      <c r="K45" s="19" t="n"/>
      <c r="L45" s="23">
        <f>IF($E45="","",IFERROR(VLOOKUP($D45,'Plan setup'!$A$17:$B$21,2,FALSE),0))</f>
        <v/>
      </c>
      <c r="M45" s="17">
        <f>IF($E45="","",$E45*$L45)</f>
        <v/>
      </c>
      <c r="N45" s="17">
        <f>IF(OR($E45="",$F45=""),0,$M45*$G45)</f>
        <v/>
      </c>
      <c r="O45" s="17">
        <f>IF(OR($E45="",$H45=""),0,$M45*$I45)</f>
        <v/>
      </c>
      <c r="P45">
        <f>IF($J45="","",IF($J45-$B45&lt;='Plan setup'!$B$5,"Reversed","Outside window"))</f>
        <v/>
      </c>
      <c r="Q45" s="24">
        <f>IF($P45="Reversed",$J45,"")</f>
        <v/>
      </c>
      <c r="R45">
        <f>IF($E45="","",IF(ABS($G45+IF($I45="",0,$I45)-1)&gt;0.0001,"Splits must total 100%",IF(COUNTIF('Plan setup'!$A$25:$A$34,$F45)=0,"Rep 1 not in Plan setup",IF(IF($H45="",FALSE,COUNTIF('Plan setup'!$A$25:$A$34,$H45)=0),"Rep 2 not in Plan setup",IF(COUNTIF('Plan setup'!$A$17:$A$21,$D45)=0,"Unknown deal type",IF($P45="Outside window","Clawback outside window: not reversed","OK"))))))</f>
        <v/>
      </c>
      <c r="S45">
        <f>AND(ISNUMBER($B45),OR($F45=Statement!$C$3,$H45=Statement!$C$3),OR(AND($B45&gt;=Statement!$C$6,$B45&lt;=Statement!$C$7),AND(ISNUMBER($Q45),$Q45&gt;=Statement!$C$6,$Q45&lt;=Statement!$C$7)))</f>
        <v/>
      </c>
      <c r="T45">
        <f>IF($S45,COUNTIF($S$2:$S45,TRUE),"")</f>
        <v/>
      </c>
      <c r="U45" s="17">
        <f>IF($F45=Statement!$C$3,$N45,0)+IF($H45=Statement!$C$3,$O45,0)</f>
        <v/>
      </c>
      <c r="V45" s="17">
        <f>IF(NOT($S45),0,IF(AND($B45&gt;=Statement!$C$6,$B45&lt;=Statement!$C$7),$U45,0)-IF(ISNUMBER($Q45),IF(AND($Q45&gt;=Statement!$C$6,$Q45&lt;=Statement!$C$7),$U45,0),0))</f>
        <v/>
      </c>
      <c r="W45" s="23">
        <f>IF($F45=Statement!$C$3,$G45,0)+IF($H45=Statement!$C$3,IF($I45="",0,$I45),0)</f>
        <v/>
      </c>
      <c r="X45">
        <f>IF(NOT($S45),"",IF(ISNUMBER($Q45),IF(AND($Q45&gt;=Statement!$C$6,$Q45&lt;=Statement!$C$7),"Clawback: credit reversed",""),"")&amp;IF(AND($B45&gt;=Statement!$C$6,$B45&lt;=Statement!$C$7,N($L45)&lt;1),"Partial credit: "&amp;TEXT($L45,"0%"),""))</f>
        <v/>
      </c>
    </row>
    <row r="46">
      <c r="A46" s="19" t="n"/>
      <c r="B46" s="20" t="n"/>
      <c r="C46" s="19" t="n"/>
      <c r="D46" s="19" t="n"/>
      <c r="E46" s="21" t="n"/>
      <c r="F46" s="19" t="n"/>
      <c r="G46" s="22" t="n"/>
      <c r="H46" s="19" t="n"/>
      <c r="I46" s="22" t="n"/>
      <c r="J46" s="20" t="n"/>
      <c r="K46" s="19" t="n"/>
      <c r="L46" s="23">
        <f>IF($E46="","",IFERROR(VLOOKUP($D46,'Plan setup'!$A$17:$B$21,2,FALSE),0))</f>
        <v/>
      </c>
      <c r="M46" s="17">
        <f>IF($E46="","",$E46*$L46)</f>
        <v/>
      </c>
      <c r="N46" s="17">
        <f>IF(OR($E46="",$F46=""),0,$M46*$G46)</f>
        <v/>
      </c>
      <c r="O46" s="17">
        <f>IF(OR($E46="",$H46=""),0,$M46*$I46)</f>
        <v/>
      </c>
      <c r="P46">
        <f>IF($J46="","",IF($J46-$B46&lt;='Plan setup'!$B$5,"Reversed","Outside window"))</f>
        <v/>
      </c>
      <c r="Q46" s="24">
        <f>IF($P46="Reversed",$J46,"")</f>
        <v/>
      </c>
      <c r="R46">
        <f>IF($E46="","",IF(ABS($G46+IF($I46="",0,$I46)-1)&gt;0.0001,"Splits must total 100%",IF(COUNTIF('Plan setup'!$A$25:$A$34,$F46)=0,"Rep 1 not in Plan setup",IF(IF($H46="",FALSE,COUNTIF('Plan setup'!$A$25:$A$34,$H46)=0),"Rep 2 not in Plan setup",IF(COUNTIF('Plan setup'!$A$17:$A$21,$D46)=0,"Unknown deal type",IF($P46="Outside window","Clawback outside window: not reversed","OK"))))))</f>
        <v/>
      </c>
      <c r="S46">
        <f>AND(ISNUMBER($B46),OR($F46=Statement!$C$3,$H46=Statement!$C$3),OR(AND($B46&gt;=Statement!$C$6,$B46&lt;=Statement!$C$7),AND(ISNUMBER($Q46),$Q46&gt;=Statement!$C$6,$Q46&lt;=Statement!$C$7)))</f>
        <v/>
      </c>
      <c r="T46">
        <f>IF($S46,COUNTIF($S$2:$S46,TRUE),"")</f>
        <v/>
      </c>
      <c r="U46" s="17">
        <f>IF($F46=Statement!$C$3,$N46,0)+IF($H46=Statement!$C$3,$O46,0)</f>
        <v/>
      </c>
      <c r="V46" s="17">
        <f>IF(NOT($S46),0,IF(AND($B46&gt;=Statement!$C$6,$B46&lt;=Statement!$C$7),$U46,0)-IF(ISNUMBER($Q46),IF(AND($Q46&gt;=Statement!$C$6,$Q46&lt;=Statement!$C$7),$U46,0),0))</f>
        <v/>
      </c>
      <c r="W46" s="23">
        <f>IF($F46=Statement!$C$3,$G46,0)+IF($H46=Statement!$C$3,IF($I46="",0,$I46),0)</f>
        <v/>
      </c>
      <c r="X46">
        <f>IF(NOT($S46),"",IF(ISNUMBER($Q46),IF(AND($Q46&gt;=Statement!$C$6,$Q46&lt;=Statement!$C$7),"Clawback: credit reversed",""),"")&amp;IF(AND($B46&gt;=Statement!$C$6,$B46&lt;=Statement!$C$7,N($L46)&lt;1),"Partial credit: "&amp;TEXT($L46,"0%"),""))</f>
        <v/>
      </c>
    </row>
    <row r="47">
      <c r="A47" s="19" t="n"/>
      <c r="B47" s="20" t="n"/>
      <c r="C47" s="19" t="n"/>
      <c r="D47" s="19" t="n"/>
      <c r="E47" s="21" t="n"/>
      <c r="F47" s="19" t="n"/>
      <c r="G47" s="22" t="n"/>
      <c r="H47" s="19" t="n"/>
      <c r="I47" s="22" t="n"/>
      <c r="J47" s="20" t="n"/>
      <c r="K47" s="19" t="n"/>
      <c r="L47" s="23">
        <f>IF($E47="","",IFERROR(VLOOKUP($D47,'Plan setup'!$A$17:$B$21,2,FALSE),0))</f>
        <v/>
      </c>
      <c r="M47" s="17">
        <f>IF($E47="","",$E47*$L47)</f>
        <v/>
      </c>
      <c r="N47" s="17">
        <f>IF(OR($E47="",$F47=""),0,$M47*$G47)</f>
        <v/>
      </c>
      <c r="O47" s="17">
        <f>IF(OR($E47="",$H47=""),0,$M47*$I47)</f>
        <v/>
      </c>
      <c r="P47">
        <f>IF($J47="","",IF($J47-$B47&lt;='Plan setup'!$B$5,"Reversed","Outside window"))</f>
        <v/>
      </c>
      <c r="Q47" s="24">
        <f>IF($P47="Reversed",$J47,"")</f>
        <v/>
      </c>
      <c r="R47">
        <f>IF($E47="","",IF(ABS($G47+IF($I47="",0,$I47)-1)&gt;0.0001,"Splits must total 100%",IF(COUNTIF('Plan setup'!$A$25:$A$34,$F47)=0,"Rep 1 not in Plan setup",IF(IF($H47="",FALSE,COUNTIF('Plan setup'!$A$25:$A$34,$H47)=0),"Rep 2 not in Plan setup",IF(COUNTIF('Plan setup'!$A$17:$A$21,$D47)=0,"Unknown deal type",IF($P47="Outside window","Clawback outside window: not reversed","OK"))))))</f>
        <v/>
      </c>
      <c r="S47">
        <f>AND(ISNUMBER($B47),OR($F47=Statement!$C$3,$H47=Statement!$C$3),OR(AND($B47&gt;=Statement!$C$6,$B47&lt;=Statement!$C$7),AND(ISNUMBER($Q47),$Q47&gt;=Statement!$C$6,$Q47&lt;=Statement!$C$7)))</f>
        <v/>
      </c>
      <c r="T47">
        <f>IF($S47,COUNTIF($S$2:$S47,TRUE),"")</f>
        <v/>
      </c>
      <c r="U47" s="17">
        <f>IF($F47=Statement!$C$3,$N47,0)+IF($H47=Statement!$C$3,$O47,0)</f>
        <v/>
      </c>
      <c r="V47" s="17">
        <f>IF(NOT($S47),0,IF(AND($B47&gt;=Statement!$C$6,$B47&lt;=Statement!$C$7),$U47,0)-IF(ISNUMBER($Q47),IF(AND($Q47&gt;=Statement!$C$6,$Q47&lt;=Statement!$C$7),$U47,0),0))</f>
        <v/>
      </c>
      <c r="W47" s="23">
        <f>IF($F47=Statement!$C$3,$G47,0)+IF($H47=Statement!$C$3,IF($I47="",0,$I47),0)</f>
        <v/>
      </c>
      <c r="X47">
        <f>IF(NOT($S47),"",IF(ISNUMBER($Q47),IF(AND($Q47&gt;=Statement!$C$6,$Q47&lt;=Statement!$C$7),"Clawback: credit reversed",""),"")&amp;IF(AND($B47&gt;=Statement!$C$6,$B47&lt;=Statement!$C$7,N($L47)&lt;1),"Partial credit: "&amp;TEXT($L47,"0%"),""))</f>
        <v/>
      </c>
    </row>
    <row r="48">
      <c r="A48" s="19" t="n"/>
      <c r="B48" s="20" t="n"/>
      <c r="C48" s="19" t="n"/>
      <c r="D48" s="19" t="n"/>
      <c r="E48" s="21" t="n"/>
      <c r="F48" s="19" t="n"/>
      <c r="G48" s="22" t="n"/>
      <c r="H48" s="19" t="n"/>
      <c r="I48" s="22" t="n"/>
      <c r="J48" s="20" t="n"/>
      <c r="K48" s="19" t="n"/>
      <c r="L48" s="23">
        <f>IF($E48="","",IFERROR(VLOOKUP($D48,'Plan setup'!$A$17:$B$21,2,FALSE),0))</f>
        <v/>
      </c>
      <c r="M48" s="17">
        <f>IF($E48="","",$E48*$L48)</f>
        <v/>
      </c>
      <c r="N48" s="17">
        <f>IF(OR($E48="",$F48=""),0,$M48*$G48)</f>
        <v/>
      </c>
      <c r="O48" s="17">
        <f>IF(OR($E48="",$H48=""),0,$M48*$I48)</f>
        <v/>
      </c>
      <c r="P48">
        <f>IF($J48="","",IF($J48-$B48&lt;='Plan setup'!$B$5,"Reversed","Outside window"))</f>
        <v/>
      </c>
      <c r="Q48" s="24">
        <f>IF($P48="Reversed",$J48,"")</f>
        <v/>
      </c>
      <c r="R48">
        <f>IF($E48="","",IF(ABS($G48+IF($I48="",0,$I48)-1)&gt;0.0001,"Splits must total 100%",IF(COUNTIF('Plan setup'!$A$25:$A$34,$F48)=0,"Rep 1 not in Plan setup",IF(IF($H48="",FALSE,COUNTIF('Plan setup'!$A$25:$A$34,$H48)=0),"Rep 2 not in Plan setup",IF(COUNTIF('Plan setup'!$A$17:$A$21,$D48)=0,"Unknown deal type",IF($P48="Outside window","Clawback outside window: not reversed","OK"))))))</f>
        <v/>
      </c>
      <c r="S48">
        <f>AND(ISNUMBER($B48),OR($F48=Statement!$C$3,$H48=Statement!$C$3),OR(AND($B48&gt;=Statement!$C$6,$B48&lt;=Statement!$C$7),AND(ISNUMBER($Q48),$Q48&gt;=Statement!$C$6,$Q48&lt;=Statement!$C$7)))</f>
        <v/>
      </c>
      <c r="T48">
        <f>IF($S48,COUNTIF($S$2:$S48,TRUE),"")</f>
        <v/>
      </c>
      <c r="U48" s="17">
        <f>IF($F48=Statement!$C$3,$N48,0)+IF($H48=Statement!$C$3,$O48,0)</f>
        <v/>
      </c>
      <c r="V48" s="17">
        <f>IF(NOT($S48),0,IF(AND($B48&gt;=Statement!$C$6,$B48&lt;=Statement!$C$7),$U48,0)-IF(ISNUMBER($Q48),IF(AND($Q48&gt;=Statement!$C$6,$Q48&lt;=Statement!$C$7),$U48,0),0))</f>
        <v/>
      </c>
      <c r="W48" s="23">
        <f>IF($F48=Statement!$C$3,$G48,0)+IF($H48=Statement!$C$3,IF($I48="",0,$I48),0)</f>
        <v/>
      </c>
      <c r="X48">
        <f>IF(NOT($S48),"",IF(ISNUMBER($Q48),IF(AND($Q48&gt;=Statement!$C$6,$Q48&lt;=Statement!$C$7),"Clawback: credit reversed",""),"")&amp;IF(AND($B48&gt;=Statement!$C$6,$B48&lt;=Statement!$C$7,N($L48)&lt;1),"Partial credit: "&amp;TEXT($L48,"0%"),""))</f>
        <v/>
      </c>
    </row>
    <row r="49">
      <c r="A49" s="19" t="n"/>
      <c r="B49" s="20" t="n"/>
      <c r="C49" s="19" t="n"/>
      <c r="D49" s="19" t="n"/>
      <c r="E49" s="21" t="n"/>
      <c r="F49" s="19" t="n"/>
      <c r="G49" s="22" t="n"/>
      <c r="H49" s="19" t="n"/>
      <c r="I49" s="22" t="n"/>
      <c r="J49" s="20" t="n"/>
      <c r="K49" s="19" t="n"/>
      <c r="L49" s="23">
        <f>IF($E49="","",IFERROR(VLOOKUP($D49,'Plan setup'!$A$17:$B$21,2,FALSE),0))</f>
        <v/>
      </c>
      <c r="M49" s="17">
        <f>IF($E49="","",$E49*$L49)</f>
        <v/>
      </c>
      <c r="N49" s="17">
        <f>IF(OR($E49="",$F49=""),0,$M49*$G49)</f>
        <v/>
      </c>
      <c r="O49" s="17">
        <f>IF(OR($E49="",$H49=""),0,$M49*$I49)</f>
        <v/>
      </c>
      <c r="P49">
        <f>IF($J49="","",IF($J49-$B49&lt;='Plan setup'!$B$5,"Reversed","Outside window"))</f>
        <v/>
      </c>
      <c r="Q49" s="24">
        <f>IF($P49="Reversed",$J49,"")</f>
        <v/>
      </c>
      <c r="R49">
        <f>IF($E49="","",IF(ABS($G49+IF($I49="",0,$I49)-1)&gt;0.0001,"Splits must total 100%",IF(COUNTIF('Plan setup'!$A$25:$A$34,$F49)=0,"Rep 1 not in Plan setup",IF(IF($H49="",FALSE,COUNTIF('Plan setup'!$A$25:$A$34,$H49)=0),"Rep 2 not in Plan setup",IF(COUNTIF('Plan setup'!$A$17:$A$21,$D49)=0,"Unknown deal type",IF($P49="Outside window","Clawback outside window: not reversed","OK"))))))</f>
        <v/>
      </c>
      <c r="S49">
        <f>AND(ISNUMBER($B49),OR($F49=Statement!$C$3,$H49=Statement!$C$3),OR(AND($B49&gt;=Statement!$C$6,$B49&lt;=Statement!$C$7),AND(ISNUMBER($Q49),$Q49&gt;=Statement!$C$6,$Q49&lt;=Statement!$C$7)))</f>
        <v/>
      </c>
      <c r="T49">
        <f>IF($S49,COUNTIF($S$2:$S49,TRUE),"")</f>
        <v/>
      </c>
      <c r="U49" s="17">
        <f>IF($F49=Statement!$C$3,$N49,0)+IF($H49=Statement!$C$3,$O49,0)</f>
        <v/>
      </c>
      <c r="V49" s="17">
        <f>IF(NOT($S49),0,IF(AND($B49&gt;=Statement!$C$6,$B49&lt;=Statement!$C$7),$U49,0)-IF(ISNUMBER($Q49),IF(AND($Q49&gt;=Statement!$C$6,$Q49&lt;=Statement!$C$7),$U49,0),0))</f>
        <v/>
      </c>
      <c r="W49" s="23">
        <f>IF($F49=Statement!$C$3,$G49,0)+IF($H49=Statement!$C$3,IF($I49="",0,$I49),0)</f>
        <v/>
      </c>
      <c r="X49">
        <f>IF(NOT($S49),"",IF(ISNUMBER($Q49),IF(AND($Q49&gt;=Statement!$C$6,$Q49&lt;=Statement!$C$7),"Clawback: credit reversed",""),"")&amp;IF(AND($B49&gt;=Statement!$C$6,$B49&lt;=Statement!$C$7,N($L49)&lt;1),"Partial credit: "&amp;TEXT($L49,"0%"),""))</f>
        <v/>
      </c>
    </row>
    <row r="50">
      <c r="A50" s="19" t="n"/>
      <c r="B50" s="20" t="n"/>
      <c r="C50" s="19" t="n"/>
      <c r="D50" s="19" t="n"/>
      <c r="E50" s="21" t="n"/>
      <c r="F50" s="19" t="n"/>
      <c r="G50" s="22" t="n"/>
      <c r="H50" s="19" t="n"/>
      <c r="I50" s="22" t="n"/>
      <c r="J50" s="20" t="n"/>
      <c r="K50" s="19" t="n"/>
      <c r="L50" s="23">
        <f>IF($E50="","",IFERROR(VLOOKUP($D50,'Plan setup'!$A$17:$B$21,2,FALSE),0))</f>
        <v/>
      </c>
      <c r="M50" s="17">
        <f>IF($E50="","",$E50*$L50)</f>
        <v/>
      </c>
      <c r="N50" s="17">
        <f>IF(OR($E50="",$F50=""),0,$M50*$G50)</f>
        <v/>
      </c>
      <c r="O50" s="17">
        <f>IF(OR($E50="",$H50=""),0,$M50*$I50)</f>
        <v/>
      </c>
      <c r="P50">
        <f>IF($J50="","",IF($J50-$B50&lt;='Plan setup'!$B$5,"Reversed","Outside window"))</f>
        <v/>
      </c>
      <c r="Q50" s="24">
        <f>IF($P50="Reversed",$J50,"")</f>
        <v/>
      </c>
      <c r="R50">
        <f>IF($E50="","",IF(ABS($G50+IF($I50="",0,$I50)-1)&gt;0.0001,"Splits must total 100%",IF(COUNTIF('Plan setup'!$A$25:$A$34,$F50)=0,"Rep 1 not in Plan setup",IF(IF($H50="",FALSE,COUNTIF('Plan setup'!$A$25:$A$34,$H50)=0),"Rep 2 not in Plan setup",IF(COUNTIF('Plan setup'!$A$17:$A$21,$D50)=0,"Unknown deal type",IF($P50="Outside window","Clawback outside window: not reversed","OK"))))))</f>
        <v/>
      </c>
      <c r="S50">
        <f>AND(ISNUMBER($B50),OR($F50=Statement!$C$3,$H50=Statement!$C$3),OR(AND($B50&gt;=Statement!$C$6,$B50&lt;=Statement!$C$7),AND(ISNUMBER($Q50),$Q50&gt;=Statement!$C$6,$Q50&lt;=Statement!$C$7)))</f>
        <v/>
      </c>
      <c r="T50">
        <f>IF($S50,COUNTIF($S$2:$S50,TRUE),"")</f>
        <v/>
      </c>
      <c r="U50" s="17">
        <f>IF($F50=Statement!$C$3,$N50,0)+IF($H50=Statement!$C$3,$O50,0)</f>
        <v/>
      </c>
      <c r="V50" s="17">
        <f>IF(NOT($S50),0,IF(AND($B50&gt;=Statement!$C$6,$B50&lt;=Statement!$C$7),$U50,0)-IF(ISNUMBER($Q50),IF(AND($Q50&gt;=Statement!$C$6,$Q50&lt;=Statement!$C$7),$U50,0),0))</f>
        <v/>
      </c>
      <c r="W50" s="23">
        <f>IF($F50=Statement!$C$3,$G50,0)+IF($H50=Statement!$C$3,IF($I50="",0,$I50),0)</f>
        <v/>
      </c>
      <c r="X50">
        <f>IF(NOT($S50),"",IF(ISNUMBER($Q50),IF(AND($Q50&gt;=Statement!$C$6,$Q50&lt;=Statement!$C$7),"Clawback: credit reversed",""),"")&amp;IF(AND($B50&gt;=Statement!$C$6,$B50&lt;=Statement!$C$7,N($L50)&lt;1),"Partial credit: "&amp;TEXT($L50,"0%"),""))</f>
        <v/>
      </c>
    </row>
    <row r="51">
      <c r="A51" s="19" t="n"/>
      <c r="B51" s="20" t="n"/>
      <c r="C51" s="19" t="n"/>
      <c r="D51" s="19" t="n"/>
      <c r="E51" s="21" t="n"/>
      <c r="F51" s="19" t="n"/>
      <c r="G51" s="22" t="n"/>
      <c r="H51" s="19" t="n"/>
      <c r="I51" s="22" t="n"/>
      <c r="J51" s="20" t="n"/>
      <c r="K51" s="19" t="n"/>
      <c r="L51" s="23">
        <f>IF($E51="","",IFERROR(VLOOKUP($D51,'Plan setup'!$A$17:$B$21,2,FALSE),0))</f>
        <v/>
      </c>
      <c r="M51" s="17">
        <f>IF($E51="","",$E51*$L51)</f>
        <v/>
      </c>
      <c r="N51" s="17">
        <f>IF(OR($E51="",$F51=""),0,$M51*$G51)</f>
        <v/>
      </c>
      <c r="O51" s="17">
        <f>IF(OR($E51="",$H51=""),0,$M51*$I51)</f>
        <v/>
      </c>
      <c r="P51">
        <f>IF($J51="","",IF($J51-$B51&lt;='Plan setup'!$B$5,"Reversed","Outside window"))</f>
        <v/>
      </c>
      <c r="Q51" s="24">
        <f>IF($P51="Reversed",$J51,"")</f>
        <v/>
      </c>
      <c r="R51">
        <f>IF($E51="","",IF(ABS($G51+IF($I51="",0,$I51)-1)&gt;0.0001,"Splits must total 100%",IF(COUNTIF('Plan setup'!$A$25:$A$34,$F51)=0,"Rep 1 not in Plan setup",IF(IF($H51="",FALSE,COUNTIF('Plan setup'!$A$25:$A$34,$H51)=0),"Rep 2 not in Plan setup",IF(COUNTIF('Plan setup'!$A$17:$A$21,$D51)=0,"Unknown deal type",IF($P51="Outside window","Clawback outside window: not reversed","OK"))))))</f>
        <v/>
      </c>
      <c r="S51">
        <f>AND(ISNUMBER($B51),OR($F51=Statement!$C$3,$H51=Statement!$C$3),OR(AND($B51&gt;=Statement!$C$6,$B51&lt;=Statement!$C$7),AND(ISNUMBER($Q51),$Q51&gt;=Statement!$C$6,$Q51&lt;=Statement!$C$7)))</f>
        <v/>
      </c>
      <c r="T51">
        <f>IF($S51,COUNTIF($S$2:$S51,TRUE),"")</f>
        <v/>
      </c>
      <c r="U51" s="17">
        <f>IF($F51=Statement!$C$3,$N51,0)+IF($H51=Statement!$C$3,$O51,0)</f>
        <v/>
      </c>
      <c r="V51" s="17">
        <f>IF(NOT($S51),0,IF(AND($B51&gt;=Statement!$C$6,$B51&lt;=Statement!$C$7),$U51,0)-IF(ISNUMBER($Q51),IF(AND($Q51&gt;=Statement!$C$6,$Q51&lt;=Statement!$C$7),$U51,0),0))</f>
        <v/>
      </c>
      <c r="W51" s="23">
        <f>IF($F51=Statement!$C$3,$G51,0)+IF($H51=Statement!$C$3,IF($I51="",0,$I51),0)</f>
        <v/>
      </c>
      <c r="X51">
        <f>IF(NOT($S51),"",IF(ISNUMBER($Q51),IF(AND($Q51&gt;=Statement!$C$6,$Q51&lt;=Statement!$C$7),"Clawback: credit reversed",""),"")&amp;IF(AND($B51&gt;=Statement!$C$6,$B51&lt;=Statement!$C$7,N($L51)&lt;1),"Partial credit: "&amp;TEXT($L51,"0%"),""))</f>
        <v/>
      </c>
    </row>
    <row r="52">
      <c r="A52" s="19" t="n"/>
      <c r="B52" s="20" t="n"/>
      <c r="C52" s="19" t="n"/>
      <c r="D52" s="19" t="n"/>
      <c r="E52" s="21" t="n"/>
      <c r="F52" s="19" t="n"/>
      <c r="G52" s="22" t="n"/>
      <c r="H52" s="19" t="n"/>
      <c r="I52" s="22" t="n"/>
      <c r="J52" s="20" t="n"/>
      <c r="K52" s="19" t="n"/>
      <c r="L52" s="23">
        <f>IF($E52="","",IFERROR(VLOOKUP($D52,'Plan setup'!$A$17:$B$21,2,FALSE),0))</f>
        <v/>
      </c>
      <c r="M52" s="17">
        <f>IF($E52="","",$E52*$L52)</f>
        <v/>
      </c>
      <c r="N52" s="17">
        <f>IF(OR($E52="",$F52=""),0,$M52*$G52)</f>
        <v/>
      </c>
      <c r="O52" s="17">
        <f>IF(OR($E52="",$H52=""),0,$M52*$I52)</f>
        <v/>
      </c>
      <c r="P52">
        <f>IF($J52="","",IF($J52-$B52&lt;='Plan setup'!$B$5,"Reversed","Outside window"))</f>
        <v/>
      </c>
      <c r="Q52" s="24">
        <f>IF($P52="Reversed",$J52,"")</f>
        <v/>
      </c>
      <c r="R52">
        <f>IF($E52="","",IF(ABS($G52+IF($I52="",0,$I52)-1)&gt;0.0001,"Splits must total 100%",IF(COUNTIF('Plan setup'!$A$25:$A$34,$F52)=0,"Rep 1 not in Plan setup",IF(IF($H52="",FALSE,COUNTIF('Plan setup'!$A$25:$A$34,$H52)=0),"Rep 2 not in Plan setup",IF(COUNTIF('Plan setup'!$A$17:$A$21,$D52)=0,"Unknown deal type",IF($P52="Outside window","Clawback outside window: not reversed","OK"))))))</f>
        <v/>
      </c>
      <c r="S52">
        <f>AND(ISNUMBER($B52),OR($F52=Statement!$C$3,$H52=Statement!$C$3),OR(AND($B52&gt;=Statement!$C$6,$B52&lt;=Statement!$C$7),AND(ISNUMBER($Q52),$Q52&gt;=Statement!$C$6,$Q52&lt;=Statement!$C$7)))</f>
        <v/>
      </c>
      <c r="T52">
        <f>IF($S52,COUNTIF($S$2:$S52,TRUE),"")</f>
        <v/>
      </c>
      <c r="U52" s="17">
        <f>IF($F52=Statement!$C$3,$N52,0)+IF($H52=Statement!$C$3,$O52,0)</f>
        <v/>
      </c>
      <c r="V52" s="17">
        <f>IF(NOT($S52),0,IF(AND($B52&gt;=Statement!$C$6,$B52&lt;=Statement!$C$7),$U52,0)-IF(ISNUMBER($Q52),IF(AND($Q52&gt;=Statement!$C$6,$Q52&lt;=Statement!$C$7),$U52,0),0))</f>
        <v/>
      </c>
      <c r="W52" s="23">
        <f>IF($F52=Statement!$C$3,$G52,0)+IF($H52=Statement!$C$3,IF($I52="",0,$I52),0)</f>
        <v/>
      </c>
      <c r="X52">
        <f>IF(NOT($S52),"",IF(ISNUMBER($Q52),IF(AND($Q52&gt;=Statement!$C$6,$Q52&lt;=Statement!$C$7),"Clawback: credit reversed",""),"")&amp;IF(AND($B52&gt;=Statement!$C$6,$B52&lt;=Statement!$C$7,N($L52)&lt;1),"Partial credit: "&amp;TEXT($L52,"0%"),""))</f>
        <v/>
      </c>
    </row>
    <row r="53">
      <c r="A53" s="19" t="n"/>
      <c r="B53" s="20" t="n"/>
      <c r="C53" s="19" t="n"/>
      <c r="D53" s="19" t="n"/>
      <c r="E53" s="21" t="n"/>
      <c r="F53" s="19" t="n"/>
      <c r="G53" s="22" t="n"/>
      <c r="H53" s="19" t="n"/>
      <c r="I53" s="22" t="n"/>
      <c r="J53" s="20" t="n"/>
      <c r="K53" s="19" t="n"/>
      <c r="L53" s="23">
        <f>IF($E53="","",IFERROR(VLOOKUP($D53,'Plan setup'!$A$17:$B$21,2,FALSE),0))</f>
        <v/>
      </c>
      <c r="M53" s="17">
        <f>IF($E53="","",$E53*$L53)</f>
        <v/>
      </c>
      <c r="N53" s="17">
        <f>IF(OR($E53="",$F53=""),0,$M53*$G53)</f>
        <v/>
      </c>
      <c r="O53" s="17">
        <f>IF(OR($E53="",$H53=""),0,$M53*$I53)</f>
        <v/>
      </c>
      <c r="P53">
        <f>IF($J53="","",IF($J53-$B53&lt;='Plan setup'!$B$5,"Reversed","Outside window"))</f>
        <v/>
      </c>
      <c r="Q53" s="24">
        <f>IF($P53="Reversed",$J53,"")</f>
        <v/>
      </c>
      <c r="R53">
        <f>IF($E53="","",IF(ABS($G53+IF($I53="",0,$I53)-1)&gt;0.0001,"Splits must total 100%",IF(COUNTIF('Plan setup'!$A$25:$A$34,$F53)=0,"Rep 1 not in Plan setup",IF(IF($H53="",FALSE,COUNTIF('Plan setup'!$A$25:$A$34,$H53)=0),"Rep 2 not in Plan setup",IF(COUNTIF('Plan setup'!$A$17:$A$21,$D53)=0,"Unknown deal type",IF($P53="Outside window","Clawback outside window: not reversed","OK"))))))</f>
        <v/>
      </c>
      <c r="S53">
        <f>AND(ISNUMBER($B53),OR($F53=Statement!$C$3,$H53=Statement!$C$3),OR(AND($B53&gt;=Statement!$C$6,$B53&lt;=Statement!$C$7),AND(ISNUMBER($Q53),$Q53&gt;=Statement!$C$6,$Q53&lt;=Statement!$C$7)))</f>
        <v/>
      </c>
      <c r="T53">
        <f>IF($S53,COUNTIF($S$2:$S53,TRUE),"")</f>
        <v/>
      </c>
      <c r="U53" s="17">
        <f>IF($F53=Statement!$C$3,$N53,0)+IF($H53=Statement!$C$3,$O53,0)</f>
        <v/>
      </c>
      <c r="V53" s="17">
        <f>IF(NOT($S53),0,IF(AND($B53&gt;=Statement!$C$6,$B53&lt;=Statement!$C$7),$U53,0)-IF(ISNUMBER($Q53),IF(AND($Q53&gt;=Statement!$C$6,$Q53&lt;=Statement!$C$7),$U53,0),0))</f>
        <v/>
      </c>
      <c r="W53" s="23">
        <f>IF($F53=Statement!$C$3,$G53,0)+IF($H53=Statement!$C$3,IF($I53="",0,$I53),0)</f>
        <v/>
      </c>
      <c r="X53">
        <f>IF(NOT($S53),"",IF(ISNUMBER($Q53),IF(AND($Q53&gt;=Statement!$C$6,$Q53&lt;=Statement!$C$7),"Clawback: credit reversed",""),"")&amp;IF(AND($B53&gt;=Statement!$C$6,$B53&lt;=Statement!$C$7,N($L53)&lt;1),"Partial credit: "&amp;TEXT($L53,"0%"),""))</f>
        <v/>
      </c>
    </row>
    <row r="54">
      <c r="A54" s="19" t="n"/>
      <c r="B54" s="20" t="n"/>
      <c r="C54" s="19" t="n"/>
      <c r="D54" s="19" t="n"/>
      <c r="E54" s="21" t="n"/>
      <c r="F54" s="19" t="n"/>
      <c r="G54" s="22" t="n"/>
      <c r="H54" s="19" t="n"/>
      <c r="I54" s="22" t="n"/>
      <c r="J54" s="20" t="n"/>
      <c r="K54" s="19" t="n"/>
      <c r="L54" s="23">
        <f>IF($E54="","",IFERROR(VLOOKUP($D54,'Plan setup'!$A$17:$B$21,2,FALSE),0))</f>
        <v/>
      </c>
      <c r="M54" s="17">
        <f>IF($E54="","",$E54*$L54)</f>
        <v/>
      </c>
      <c r="N54" s="17">
        <f>IF(OR($E54="",$F54=""),0,$M54*$G54)</f>
        <v/>
      </c>
      <c r="O54" s="17">
        <f>IF(OR($E54="",$H54=""),0,$M54*$I54)</f>
        <v/>
      </c>
      <c r="P54">
        <f>IF($J54="","",IF($J54-$B54&lt;='Plan setup'!$B$5,"Reversed","Outside window"))</f>
        <v/>
      </c>
      <c r="Q54" s="24">
        <f>IF($P54="Reversed",$J54,"")</f>
        <v/>
      </c>
      <c r="R54">
        <f>IF($E54="","",IF(ABS($G54+IF($I54="",0,$I54)-1)&gt;0.0001,"Splits must total 100%",IF(COUNTIF('Plan setup'!$A$25:$A$34,$F54)=0,"Rep 1 not in Plan setup",IF(IF($H54="",FALSE,COUNTIF('Plan setup'!$A$25:$A$34,$H54)=0),"Rep 2 not in Plan setup",IF(COUNTIF('Plan setup'!$A$17:$A$21,$D54)=0,"Unknown deal type",IF($P54="Outside window","Clawback outside window: not reversed","OK"))))))</f>
        <v/>
      </c>
      <c r="S54">
        <f>AND(ISNUMBER($B54),OR($F54=Statement!$C$3,$H54=Statement!$C$3),OR(AND($B54&gt;=Statement!$C$6,$B54&lt;=Statement!$C$7),AND(ISNUMBER($Q54),$Q54&gt;=Statement!$C$6,$Q54&lt;=Statement!$C$7)))</f>
        <v/>
      </c>
      <c r="T54">
        <f>IF($S54,COUNTIF($S$2:$S54,TRUE),"")</f>
        <v/>
      </c>
      <c r="U54" s="17">
        <f>IF($F54=Statement!$C$3,$N54,0)+IF($H54=Statement!$C$3,$O54,0)</f>
        <v/>
      </c>
      <c r="V54" s="17">
        <f>IF(NOT($S54),0,IF(AND($B54&gt;=Statement!$C$6,$B54&lt;=Statement!$C$7),$U54,0)-IF(ISNUMBER($Q54),IF(AND($Q54&gt;=Statement!$C$6,$Q54&lt;=Statement!$C$7),$U54,0),0))</f>
        <v/>
      </c>
      <c r="W54" s="23">
        <f>IF($F54=Statement!$C$3,$G54,0)+IF($H54=Statement!$C$3,IF($I54="",0,$I54),0)</f>
        <v/>
      </c>
      <c r="X54">
        <f>IF(NOT($S54),"",IF(ISNUMBER($Q54),IF(AND($Q54&gt;=Statement!$C$6,$Q54&lt;=Statement!$C$7),"Clawback: credit reversed",""),"")&amp;IF(AND($B54&gt;=Statement!$C$6,$B54&lt;=Statement!$C$7,N($L54)&lt;1),"Partial credit: "&amp;TEXT($L54,"0%"),""))</f>
        <v/>
      </c>
    </row>
    <row r="55">
      <c r="A55" s="19" t="n"/>
      <c r="B55" s="20" t="n"/>
      <c r="C55" s="19" t="n"/>
      <c r="D55" s="19" t="n"/>
      <c r="E55" s="21" t="n"/>
      <c r="F55" s="19" t="n"/>
      <c r="G55" s="22" t="n"/>
      <c r="H55" s="19" t="n"/>
      <c r="I55" s="22" t="n"/>
      <c r="J55" s="20" t="n"/>
      <c r="K55" s="19" t="n"/>
      <c r="L55" s="23">
        <f>IF($E55="","",IFERROR(VLOOKUP($D55,'Plan setup'!$A$17:$B$21,2,FALSE),0))</f>
        <v/>
      </c>
      <c r="M55" s="17">
        <f>IF($E55="","",$E55*$L55)</f>
        <v/>
      </c>
      <c r="N55" s="17">
        <f>IF(OR($E55="",$F55=""),0,$M55*$G55)</f>
        <v/>
      </c>
      <c r="O55" s="17">
        <f>IF(OR($E55="",$H55=""),0,$M55*$I55)</f>
        <v/>
      </c>
      <c r="P55">
        <f>IF($J55="","",IF($J55-$B55&lt;='Plan setup'!$B$5,"Reversed","Outside window"))</f>
        <v/>
      </c>
      <c r="Q55" s="24">
        <f>IF($P55="Reversed",$J55,"")</f>
        <v/>
      </c>
      <c r="R55">
        <f>IF($E55="","",IF(ABS($G55+IF($I55="",0,$I55)-1)&gt;0.0001,"Splits must total 100%",IF(COUNTIF('Plan setup'!$A$25:$A$34,$F55)=0,"Rep 1 not in Plan setup",IF(IF($H55="",FALSE,COUNTIF('Plan setup'!$A$25:$A$34,$H55)=0),"Rep 2 not in Plan setup",IF(COUNTIF('Plan setup'!$A$17:$A$21,$D55)=0,"Unknown deal type",IF($P55="Outside window","Clawback outside window: not reversed","OK"))))))</f>
        <v/>
      </c>
      <c r="S55">
        <f>AND(ISNUMBER($B55),OR($F55=Statement!$C$3,$H55=Statement!$C$3),OR(AND($B55&gt;=Statement!$C$6,$B55&lt;=Statement!$C$7),AND(ISNUMBER($Q55),$Q55&gt;=Statement!$C$6,$Q55&lt;=Statement!$C$7)))</f>
        <v/>
      </c>
      <c r="T55">
        <f>IF($S55,COUNTIF($S$2:$S55,TRUE),"")</f>
        <v/>
      </c>
      <c r="U55" s="17">
        <f>IF($F55=Statement!$C$3,$N55,0)+IF($H55=Statement!$C$3,$O55,0)</f>
        <v/>
      </c>
      <c r="V55" s="17">
        <f>IF(NOT($S55),0,IF(AND($B55&gt;=Statement!$C$6,$B55&lt;=Statement!$C$7),$U55,0)-IF(ISNUMBER($Q55),IF(AND($Q55&gt;=Statement!$C$6,$Q55&lt;=Statement!$C$7),$U55,0),0))</f>
        <v/>
      </c>
      <c r="W55" s="23">
        <f>IF($F55=Statement!$C$3,$G55,0)+IF($H55=Statement!$C$3,IF($I55="",0,$I55),0)</f>
        <v/>
      </c>
      <c r="X55">
        <f>IF(NOT($S55),"",IF(ISNUMBER($Q55),IF(AND($Q55&gt;=Statement!$C$6,$Q55&lt;=Statement!$C$7),"Clawback: credit reversed",""),"")&amp;IF(AND($B55&gt;=Statement!$C$6,$B55&lt;=Statement!$C$7,N($L55)&lt;1),"Partial credit: "&amp;TEXT($L55,"0%"),""))</f>
        <v/>
      </c>
    </row>
    <row r="56">
      <c r="A56" s="19" t="n"/>
      <c r="B56" s="20" t="n"/>
      <c r="C56" s="19" t="n"/>
      <c r="D56" s="19" t="n"/>
      <c r="E56" s="21" t="n"/>
      <c r="F56" s="19" t="n"/>
      <c r="G56" s="22" t="n"/>
      <c r="H56" s="19" t="n"/>
      <c r="I56" s="22" t="n"/>
      <c r="J56" s="20" t="n"/>
      <c r="K56" s="19" t="n"/>
      <c r="L56" s="23">
        <f>IF($E56="","",IFERROR(VLOOKUP($D56,'Plan setup'!$A$17:$B$21,2,FALSE),0))</f>
        <v/>
      </c>
      <c r="M56" s="17">
        <f>IF($E56="","",$E56*$L56)</f>
        <v/>
      </c>
      <c r="N56" s="17">
        <f>IF(OR($E56="",$F56=""),0,$M56*$G56)</f>
        <v/>
      </c>
      <c r="O56" s="17">
        <f>IF(OR($E56="",$H56=""),0,$M56*$I56)</f>
        <v/>
      </c>
      <c r="P56">
        <f>IF($J56="","",IF($J56-$B56&lt;='Plan setup'!$B$5,"Reversed","Outside window"))</f>
        <v/>
      </c>
      <c r="Q56" s="24">
        <f>IF($P56="Reversed",$J56,"")</f>
        <v/>
      </c>
      <c r="R56">
        <f>IF($E56="","",IF(ABS($G56+IF($I56="",0,$I56)-1)&gt;0.0001,"Splits must total 100%",IF(COUNTIF('Plan setup'!$A$25:$A$34,$F56)=0,"Rep 1 not in Plan setup",IF(IF($H56="",FALSE,COUNTIF('Plan setup'!$A$25:$A$34,$H56)=0),"Rep 2 not in Plan setup",IF(COUNTIF('Plan setup'!$A$17:$A$21,$D56)=0,"Unknown deal type",IF($P56="Outside window","Clawback outside window: not reversed","OK"))))))</f>
        <v/>
      </c>
      <c r="S56">
        <f>AND(ISNUMBER($B56),OR($F56=Statement!$C$3,$H56=Statement!$C$3),OR(AND($B56&gt;=Statement!$C$6,$B56&lt;=Statement!$C$7),AND(ISNUMBER($Q56),$Q56&gt;=Statement!$C$6,$Q56&lt;=Statement!$C$7)))</f>
        <v/>
      </c>
      <c r="T56">
        <f>IF($S56,COUNTIF($S$2:$S56,TRUE),"")</f>
        <v/>
      </c>
      <c r="U56" s="17">
        <f>IF($F56=Statement!$C$3,$N56,0)+IF($H56=Statement!$C$3,$O56,0)</f>
        <v/>
      </c>
      <c r="V56" s="17">
        <f>IF(NOT($S56),0,IF(AND($B56&gt;=Statement!$C$6,$B56&lt;=Statement!$C$7),$U56,0)-IF(ISNUMBER($Q56),IF(AND($Q56&gt;=Statement!$C$6,$Q56&lt;=Statement!$C$7),$U56,0),0))</f>
        <v/>
      </c>
      <c r="W56" s="23">
        <f>IF($F56=Statement!$C$3,$G56,0)+IF($H56=Statement!$C$3,IF($I56="",0,$I56),0)</f>
        <v/>
      </c>
      <c r="X56">
        <f>IF(NOT($S56),"",IF(ISNUMBER($Q56),IF(AND($Q56&gt;=Statement!$C$6,$Q56&lt;=Statement!$C$7),"Clawback: credit reversed",""),"")&amp;IF(AND($B56&gt;=Statement!$C$6,$B56&lt;=Statement!$C$7,N($L56)&lt;1),"Partial credit: "&amp;TEXT($L56,"0%"),""))</f>
        <v/>
      </c>
    </row>
    <row r="57">
      <c r="A57" s="19" t="n"/>
      <c r="B57" s="20" t="n"/>
      <c r="C57" s="19" t="n"/>
      <c r="D57" s="19" t="n"/>
      <c r="E57" s="21" t="n"/>
      <c r="F57" s="19" t="n"/>
      <c r="G57" s="22" t="n"/>
      <c r="H57" s="19" t="n"/>
      <c r="I57" s="22" t="n"/>
      <c r="J57" s="20" t="n"/>
      <c r="K57" s="19" t="n"/>
      <c r="L57" s="23">
        <f>IF($E57="","",IFERROR(VLOOKUP($D57,'Plan setup'!$A$17:$B$21,2,FALSE),0))</f>
        <v/>
      </c>
      <c r="M57" s="17">
        <f>IF($E57="","",$E57*$L57)</f>
        <v/>
      </c>
      <c r="N57" s="17">
        <f>IF(OR($E57="",$F57=""),0,$M57*$G57)</f>
        <v/>
      </c>
      <c r="O57" s="17">
        <f>IF(OR($E57="",$H57=""),0,$M57*$I57)</f>
        <v/>
      </c>
      <c r="P57">
        <f>IF($J57="","",IF($J57-$B57&lt;='Plan setup'!$B$5,"Reversed","Outside window"))</f>
        <v/>
      </c>
      <c r="Q57" s="24">
        <f>IF($P57="Reversed",$J57,"")</f>
        <v/>
      </c>
      <c r="R57">
        <f>IF($E57="","",IF(ABS($G57+IF($I57="",0,$I57)-1)&gt;0.0001,"Splits must total 100%",IF(COUNTIF('Plan setup'!$A$25:$A$34,$F57)=0,"Rep 1 not in Plan setup",IF(IF($H57="",FALSE,COUNTIF('Plan setup'!$A$25:$A$34,$H57)=0),"Rep 2 not in Plan setup",IF(COUNTIF('Plan setup'!$A$17:$A$21,$D57)=0,"Unknown deal type",IF($P57="Outside window","Clawback outside window: not reversed","OK"))))))</f>
        <v/>
      </c>
      <c r="S57">
        <f>AND(ISNUMBER($B57),OR($F57=Statement!$C$3,$H57=Statement!$C$3),OR(AND($B57&gt;=Statement!$C$6,$B57&lt;=Statement!$C$7),AND(ISNUMBER($Q57),$Q57&gt;=Statement!$C$6,$Q57&lt;=Statement!$C$7)))</f>
        <v/>
      </c>
      <c r="T57">
        <f>IF($S57,COUNTIF($S$2:$S57,TRUE),"")</f>
        <v/>
      </c>
      <c r="U57" s="17">
        <f>IF($F57=Statement!$C$3,$N57,0)+IF($H57=Statement!$C$3,$O57,0)</f>
        <v/>
      </c>
      <c r="V57" s="17">
        <f>IF(NOT($S57),0,IF(AND($B57&gt;=Statement!$C$6,$B57&lt;=Statement!$C$7),$U57,0)-IF(ISNUMBER($Q57),IF(AND($Q57&gt;=Statement!$C$6,$Q57&lt;=Statement!$C$7),$U57,0),0))</f>
        <v/>
      </c>
      <c r="W57" s="23">
        <f>IF($F57=Statement!$C$3,$G57,0)+IF($H57=Statement!$C$3,IF($I57="",0,$I57),0)</f>
        <v/>
      </c>
      <c r="X57">
        <f>IF(NOT($S57),"",IF(ISNUMBER($Q57),IF(AND($Q57&gt;=Statement!$C$6,$Q57&lt;=Statement!$C$7),"Clawback: credit reversed",""),"")&amp;IF(AND($B57&gt;=Statement!$C$6,$B57&lt;=Statement!$C$7,N($L57)&lt;1),"Partial credit: "&amp;TEXT($L57,"0%"),""))</f>
        <v/>
      </c>
    </row>
    <row r="58">
      <c r="A58" s="19" t="n"/>
      <c r="B58" s="20" t="n"/>
      <c r="C58" s="19" t="n"/>
      <c r="D58" s="19" t="n"/>
      <c r="E58" s="21" t="n"/>
      <c r="F58" s="19" t="n"/>
      <c r="G58" s="22" t="n"/>
      <c r="H58" s="19" t="n"/>
      <c r="I58" s="22" t="n"/>
      <c r="J58" s="20" t="n"/>
      <c r="K58" s="19" t="n"/>
      <c r="L58" s="23">
        <f>IF($E58="","",IFERROR(VLOOKUP($D58,'Plan setup'!$A$17:$B$21,2,FALSE),0))</f>
        <v/>
      </c>
      <c r="M58" s="17">
        <f>IF($E58="","",$E58*$L58)</f>
        <v/>
      </c>
      <c r="N58" s="17">
        <f>IF(OR($E58="",$F58=""),0,$M58*$G58)</f>
        <v/>
      </c>
      <c r="O58" s="17">
        <f>IF(OR($E58="",$H58=""),0,$M58*$I58)</f>
        <v/>
      </c>
      <c r="P58">
        <f>IF($J58="","",IF($J58-$B58&lt;='Plan setup'!$B$5,"Reversed","Outside window"))</f>
        <v/>
      </c>
      <c r="Q58" s="24">
        <f>IF($P58="Reversed",$J58,"")</f>
        <v/>
      </c>
      <c r="R58">
        <f>IF($E58="","",IF(ABS($G58+IF($I58="",0,$I58)-1)&gt;0.0001,"Splits must total 100%",IF(COUNTIF('Plan setup'!$A$25:$A$34,$F58)=0,"Rep 1 not in Plan setup",IF(IF($H58="",FALSE,COUNTIF('Plan setup'!$A$25:$A$34,$H58)=0),"Rep 2 not in Plan setup",IF(COUNTIF('Plan setup'!$A$17:$A$21,$D58)=0,"Unknown deal type",IF($P58="Outside window","Clawback outside window: not reversed","OK"))))))</f>
        <v/>
      </c>
      <c r="S58">
        <f>AND(ISNUMBER($B58),OR($F58=Statement!$C$3,$H58=Statement!$C$3),OR(AND($B58&gt;=Statement!$C$6,$B58&lt;=Statement!$C$7),AND(ISNUMBER($Q58),$Q58&gt;=Statement!$C$6,$Q58&lt;=Statement!$C$7)))</f>
        <v/>
      </c>
      <c r="T58">
        <f>IF($S58,COUNTIF($S$2:$S58,TRUE),"")</f>
        <v/>
      </c>
      <c r="U58" s="17">
        <f>IF($F58=Statement!$C$3,$N58,0)+IF($H58=Statement!$C$3,$O58,0)</f>
        <v/>
      </c>
      <c r="V58" s="17">
        <f>IF(NOT($S58),0,IF(AND($B58&gt;=Statement!$C$6,$B58&lt;=Statement!$C$7),$U58,0)-IF(ISNUMBER($Q58),IF(AND($Q58&gt;=Statement!$C$6,$Q58&lt;=Statement!$C$7),$U58,0),0))</f>
        <v/>
      </c>
      <c r="W58" s="23">
        <f>IF($F58=Statement!$C$3,$G58,0)+IF($H58=Statement!$C$3,IF($I58="",0,$I58),0)</f>
        <v/>
      </c>
      <c r="X58">
        <f>IF(NOT($S58),"",IF(ISNUMBER($Q58),IF(AND($Q58&gt;=Statement!$C$6,$Q58&lt;=Statement!$C$7),"Clawback: credit reversed",""),"")&amp;IF(AND($B58&gt;=Statement!$C$6,$B58&lt;=Statement!$C$7,N($L58)&lt;1),"Partial credit: "&amp;TEXT($L58,"0%"),""))</f>
        <v/>
      </c>
    </row>
    <row r="59">
      <c r="A59" s="19" t="n"/>
      <c r="B59" s="20" t="n"/>
      <c r="C59" s="19" t="n"/>
      <c r="D59" s="19" t="n"/>
      <c r="E59" s="21" t="n"/>
      <c r="F59" s="19" t="n"/>
      <c r="G59" s="22" t="n"/>
      <c r="H59" s="19" t="n"/>
      <c r="I59" s="22" t="n"/>
      <c r="J59" s="20" t="n"/>
      <c r="K59" s="19" t="n"/>
      <c r="L59" s="23">
        <f>IF($E59="","",IFERROR(VLOOKUP($D59,'Plan setup'!$A$17:$B$21,2,FALSE),0))</f>
        <v/>
      </c>
      <c r="M59" s="17">
        <f>IF($E59="","",$E59*$L59)</f>
        <v/>
      </c>
      <c r="N59" s="17">
        <f>IF(OR($E59="",$F59=""),0,$M59*$G59)</f>
        <v/>
      </c>
      <c r="O59" s="17">
        <f>IF(OR($E59="",$H59=""),0,$M59*$I59)</f>
        <v/>
      </c>
      <c r="P59">
        <f>IF($J59="","",IF($J59-$B59&lt;='Plan setup'!$B$5,"Reversed","Outside window"))</f>
        <v/>
      </c>
      <c r="Q59" s="24">
        <f>IF($P59="Reversed",$J59,"")</f>
        <v/>
      </c>
      <c r="R59">
        <f>IF($E59="","",IF(ABS($G59+IF($I59="",0,$I59)-1)&gt;0.0001,"Splits must total 100%",IF(COUNTIF('Plan setup'!$A$25:$A$34,$F59)=0,"Rep 1 not in Plan setup",IF(IF($H59="",FALSE,COUNTIF('Plan setup'!$A$25:$A$34,$H59)=0),"Rep 2 not in Plan setup",IF(COUNTIF('Plan setup'!$A$17:$A$21,$D59)=0,"Unknown deal type",IF($P59="Outside window","Clawback outside window: not reversed","OK"))))))</f>
        <v/>
      </c>
      <c r="S59">
        <f>AND(ISNUMBER($B59),OR($F59=Statement!$C$3,$H59=Statement!$C$3),OR(AND($B59&gt;=Statement!$C$6,$B59&lt;=Statement!$C$7),AND(ISNUMBER($Q59),$Q59&gt;=Statement!$C$6,$Q59&lt;=Statement!$C$7)))</f>
        <v/>
      </c>
      <c r="T59">
        <f>IF($S59,COUNTIF($S$2:$S59,TRUE),"")</f>
        <v/>
      </c>
      <c r="U59" s="17">
        <f>IF($F59=Statement!$C$3,$N59,0)+IF($H59=Statement!$C$3,$O59,0)</f>
        <v/>
      </c>
      <c r="V59" s="17">
        <f>IF(NOT($S59),0,IF(AND($B59&gt;=Statement!$C$6,$B59&lt;=Statement!$C$7),$U59,0)-IF(ISNUMBER($Q59),IF(AND($Q59&gt;=Statement!$C$6,$Q59&lt;=Statement!$C$7),$U59,0),0))</f>
        <v/>
      </c>
      <c r="W59" s="23">
        <f>IF($F59=Statement!$C$3,$G59,0)+IF($H59=Statement!$C$3,IF($I59="",0,$I59),0)</f>
        <v/>
      </c>
      <c r="X59">
        <f>IF(NOT($S59),"",IF(ISNUMBER($Q59),IF(AND($Q59&gt;=Statement!$C$6,$Q59&lt;=Statement!$C$7),"Clawback: credit reversed",""),"")&amp;IF(AND($B59&gt;=Statement!$C$6,$B59&lt;=Statement!$C$7,N($L59)&lt;1),"Partial credit: "&amp;TEXT($L59,"0%"),""))</f>
        <v/>
      </c>
    </row>
    <row r="60">
      <c r="A60" s="19" t="n"/>
      <c r="B60" s="20" t="n"/>
      <c r="C60" s="19" t="n"/>
      <c r="D60" s="19" t="n"/>
      <c r="E60" s="21" t="n"/>
      <c r="F60" s="19" t="n"/>
      <c r="G60" s="22" t="n"/>
      <c r="H60" s="19" t="n"/>
      <c r="I60" s="22" t="n"/>
      <c r="J60" s="20" t="n"/>
      <c r="K60" s="19" t="n"/>
      <c r="L60" s="23">
        <f>IF($E60="","",IFERROR(VLOOKUP($D60,'Plan setup'!$A$17:$B$21,2,FALSE),0))</f>
        <v/>
      </c>
      <c r="M60" s="17">
        <f>IF($E60="","",$E60*$L60)</f>
        <v/>
      </c>
      <c r="N60" s="17">
        <f>IF(OR($E60="",$F60=""),0,$M60*$G60)</f>
        <v/>
      </c>
      <c r="O60" s="17">
        <f>IF(OR($E60="",$H60=""),0,$M60*$I60)</f>
        <v/>
      </c>
      <c r="P60">
        <f>IF($J60="","",IF($J60-$B60&lt;='Plan setup'!$B$5,"Reversed","Outside window"))</f>
        <v/>
      </c>
      <c r="Q60" s="24">
        <f>IF($P60="Reversed",$J60,"")</f>
        <v/>
      </c>
      <c r="R60">
        <f>IF($E60="","",IF(ABS($G60+IF($I60="",0,$I60)-1)&gt;0.0001,"Splits must total 100%",IF(COUNTIF('Plan setup'!$A$25:$A$34,$F60)=0,"Rep 1 not in Plan setup",IF(IF($H60="",FALSE,COUNTIF('Plan setup'!$A$25:$A$34,$H60)=0),"Rep 2 not in Plan setup",IF(COUNTIF('Plan setup'!$A$17:$A$21,$D60)=0,"Unknown deal type",IF($P60="Outside window","Clawback outside window: not reversed","OK"))))))</f>
        <v/>
      </c>
      <c r="S60">
        <f>AND(ISNUMBER($B60),OR($F60=Statement!$C$3,$H60=Statement!$C$3),OR(AND($B60&gt;=Statement!$C$6,$B60&lt;=Statement!$C$7),AND(ISNUMBER($Q60),$Q60&gt;=Statement!$C$6,$Q60&lt;=Statement!$C$7)))</f>
        <v/>
      </c>
      <c r="T60">
        <f>IF($S60,COUNTIF($S$2:$S60,TRUE),"")</f>
        <v/>
      </c>
      <c r="U60" s="17">
        <f>IF($F60=Statement!$C$3,$N60,0)+IF($H60=Statement!$C$3,$O60,0)</f>
        <v/>
      </c>
      <c r="V60" s="17">
        <f>IF(NOT($S60),0,IF(AND($B60&gt;=Statement!$C$6,$B60&lt;=Statement!$C$7),$U60,0)-IF(ISNUMBER($Q60),IF(AND($Q60&gt;=Statement!$C$6,$Q60&lt;=Statement!$C$7),$U60,0),0))</f>
        <v/>
      </c>
      <c r="W60" s="23">
        <f>IF($F60=Statement!$C$3,$G60,0)+IF($H60=Statement!$C$3,IF($I60="",0,$I60),0)</f>
        <v/>
      </c>
      <c r="X60">
        <f>IF(NOT($S60),"",IF(ISNUMBER($Q60),IF(AND($Q60&gt;=Statement!$C$6,$Q60&lt;=Statement!$C$7),"Clawback: credit reversed",""),"")&amp;IF(AND($B60&gt;=Statement!$C$6,$B60&lt;=Statement!$C$7,N($L60)&lt;1),"Partial credit: "&amp;TEXT($L60,"0%"),""))</f>
        <v/>
      </c>
    </row>
    <row r="61">
      <c r="A61" s="19" t="n"/>
      <c r="B61" s="20" t="n"/>
      <c r="C61" s="19" t="n"/>
      <c r="D61" s="19" t="n"/>
      <c r="E61" s="21" t="n"/>
      <c r="F61" s="19" t="n"/>
      <c r="G61" s="22" t="n"/>
      <c r="H61" s="19" t="n"/>
      <c r="I61" s="22" t="n"/>
      <c r="J61" s="20" t="n"/>
      <c r="K61" s="19" t="n"/>
      <c r="L61" s="23">
        <f>IF($E61="","",IFERROR(VLOOKUP($D61,'Plan setup'!$A$17:$B$21,2,FALSE),0))</f>
        <v/>
      </c>
      <c r="M61" s="17">
        <f>IF($E61="","",$E61*$L61)</f>
        <v/>
      </c>
      <c r="N61" s="17">
        <f>IF(OR($E61="",$F61=""),0,$M61*$G61)</f>
        <v/>
      </c>
      <c r="O61" s="17">
        <f>IF(OR($E61="",$H61=""),0,$M61*$I61)</f>
        <v/>
      </c>
      <c r="P61">
        <f>IF($J61="","",IF($J61-$B61&lt;='Plan setup'!$B$5,"Reversed","Outside window"))</f>
        <v/>
      </c>
      <c r="Q61" s="24">
        <f>IF($P61="Reversed",$J61,"")</f>
        <v/>
      </c>
      <c r="R61">
        <f>IF($E61="","",IF(ABS($G61+IF($I61="",0,$I61)-1)&gt;0.0001,"Splits must total 100%",IF(COUNTIF('Plan setup'!$A$25:$A$34,$F61)=0,"Rep 1 not in Plan setup",IF(IF($H61="",FALSE,COUNTIF('Plan setup'!$A$25:$A$34,$H61)=0),"Rep 2 not in Plan setup",IF(COUNTIF('Plan setup'!$A$17:$A$21,$D61)=0,"Unknown deal type",IF($P61="Outside window","Clawback outside window: not reversed","OK"))))))</f>
        <v/>
      </c>
      <c r="S61">
        <f>AND(ISNUMBER($B61),OR($F61=Statement!$C$3,$H61=Statement!$C$3),OR(AND($B61&gt;=Statement!$C$6,$B61&lt;=Statement!$C$7),AND(ISNUMBER($Q61),$Q61&gt;=Statement!$C$6,$Q61&lt;=Statement!$C$7)))</f>
        <v/>
      </c>
      <c r="T61">
        <f>IF($S61,COUNTIF($S$2:$S61,TRUE),"")</f>
        <v/>
      </c>
      <c r="U61" s="17">
        <f>IF($F61=Statement!$C$3,$N61,0)+IF($H61=Statement!$C$3,$O61,0)</f>
        <v/>
      </c>
      <c r="V61" s="17">
        <f>IF(NOT($S61),0,IF(AND($B61&gt;=Statement!$C$6,$B61&lt;=Statement!$C$7),$U61,0)-IF(ISNUMBER($Q61),IF(AND($Q61&gt;=Statement!$C$6,$Q61&lt;=Statement!$C$7),$U61,0),0))</f>
        <v/>
      </c>
      <c r="W61" s="23">
        <f>IF($F61=Statement!$C$3,$G61,0)+IF($H61=Statement!$C$3,IF($I61="",0,$I61),0)</f>
        <v/>
      </c>
      <c r="X61">
        <f>IF(NOT($S61),"",IF(ISNUMBER($Q61),IF(AND($Q61&gt;=Statement!$C$6,$Q61&lt;=Statement!$C$7),"Clawback: credit reversed",""),"")&amp;IF(AND($B61&gt;=Statement!$C$6,$B61&lt;=Statement!$C$7,N($L61)&lt;1),"Partial credit: "&amp;TEXT($L61,"0%"),""))</f>
        <v/>
      </c>
    </row>
    <row r="62">
      <c r="A62" s="19" t="n"/>
      <c r="B62" s="20" t="n"/>
      <c r="C62" s="19" t="n"/>
      <c r="D62" s="19" t="n"/>
      <c r="E62" s="21" t="n"/>
      <c r="F62" s="19" t="n"/>
      <c r="G62" s="22" t="n"/>
      <c r="H62" s="19" t="n"/>
      <c r="I62" s="22" t="n"/>
      <c r="J62" s="20" t="n"/>
      <c r="K62" s="19" t="n"/>
      <c r="L62" s="23">
        <f>IF($E62="","",IFERROR(VLOOKUP($D62,'Plan setup'!$A$17:$B$21,2,FALSE),0))</f>
        <v/>
      </c>
      <c r="M62" s="17">
        <f>IF($E62="","",$E62*$L62)</f>
        <v/>
      </c>
      <c r="N62" s="17">
        <f>IF(OR($E62="",$F62=""),0,$M62*$G62)</f>
        <v/>
      </c>
      <c r="O62" s="17">
        <f>IF(OR($E62="",$H62=""),0,$M62*$I62)</f>
        <v/>
      </c>
      <c r="P62">
        <f>IF($J62="","",IF($J62-$B62&lt;='Plan setup'!$B$5,"Reversed","Outside window"))</f>
        <v/>
      </c>
      <c r="Q62" s="24">
        <f>IF($P62="Reversed",$J62,"")</f>
        <v/>
      </c>
      <c r="R62">
        <f>IF($E62="","",IF(ABS($G62+IF($I62="",0,$I62)-1)&gt;0.0001,"Splits must total 100%",IF(COUNTIF('Plan setup'!$A$25:$A$34,$F62)=0,"Rep 1 not in Plan setup",IF(IF($H62="",FALSE,COUNTIF('Plan setup'!$A$25:$A$34,$H62)=0),"Rep 2 not in Plan setup",IF(COUNTIF('Plan setup'!$A$17:$A$21,$D62)=0,"Unknown deal type",IF($P62="Outside window","Clawback outside window: not reversed","OK"))))))</f>
        <v/>
      </c>
      <c r="S62">
        <f>AND(ISNUMBER($B62),OR($F62=Statement!$C$3,$H62=Statement!$C$3),OR(AND($B62&gt;=Statement!$C$6,$B62&lt;=Statement!$C$7),AND(ISNUMBER($Q62),$Q62&gt;=Statement!$C$6,$Q62&lt;=Statement!$C$7)))</f>
        <v/>
      </c>
      <c r="T62">
        <f>IF($S62,COUNTIF($S$2:$S62,TRUE),"")</f>
        <v/>
      </c>
      <c r="U62" s="17">
        <f>IF($F62=Statement!$C$3,$N62,0)+IF($H62=Statement!$C$3,$O62,0)</f>
        <v/>
      </c>
      <c r="V62" s="17">
        <f>IF(NOT($S62),0,IF(AND($B62&gt;=Statement!$C$6,$B62&lt;=Statement!$C$7),$U62,0)-IF(ISNUMBER($Q62),IF(AND($Q62&gt;=Statement!$C$6,$Q62&lt;=Statement!$C$7),$U62,0),0))</f>
        <v/>
      </c>
      <c r="W62" s="23">
        <f>IF($F62=Statement!$C$3,$G62,0)+IF($H62=Statement!$C$3,IF($I62="",0,$I62),0)</f>
        <v/>
      </c>
      <c r="X62">
        <f>IF(NOT($S62),"",IF(ISNUMBER($Q62),IF(AND($Q62&gt;=Statement!$C$6,$Q62&lt;=Statement!$C$7),"Clawback: credit reversed",""),"")&amp;IF(AND($B62&gt;=Statement!$C$6,$B62&lt;=Statement!$C$7,N($L62)&lt;1),"Partial credit: "&amp;TEXT($L62,"0%"),""))</f>
        <v/>
      </c>
    </row>
    <row r="63">
      <c r="A63" s="19" t="n"/>
      <c r="B63" s="20" t="n"/>
      <c r="C63" s="19" t="n"/>
      <c r="D63" s="19" t="n"/>
      <c r="E63" s="21" t="n"/>
      <c r="F63" s="19" t="n"/>
      <c r="G63" s="22" t="n"/>
      <c r="H63" s="19" t="n"/>
      <c r="I63" s="22" t="n"/>
      <c r="J63" s="20" t="n"/>
      <c r="K63" s="19" t="n"/>
      <c r="L63" s="23">
        <f>IF($E63="","",IFERROR(VLOOKUP($D63,'Plan setup'!$A$17:$B$21,2,FALSE),0))</f>
        <v/>
      </c>
      <c r="M63" s="17">
        <f>IF($E63="","",$E63*$L63)</f>
        <v/>
      </c>
      <c r="N63" s="17">
        <f>IF(OR($E63="",$F63=""),0,$M63*$G63)</f>
        <v/>
      </c>
      <c r="O63" s="17">
        <f>IF(OR($E63="",$H63=""),0,$M63*$I63)</f>
        <v/>
      </c>
      <c r="P63">
        <f>IF($J63="","",IF($J63-$B63&lt;='Plan setup'!$B$5,"Reversed","Outside window"))</f>
        <v/>
      </c>
      <c r="Q63" s="24">
        <f>IF($P63="Reversed",$J63,"")</f>
        <v/>
      </c>
      <c r="R63">
        <f>IF($E63="","",IF(ABS($G63+IF($I63="",0,$I63)-1)&gt;0.0001,"Splits must total 100%",IF(COUNTIF('Plan setup'!$A$25:$A$34,$F63)=0,"Rep 1 not in Plan setup",IF(IF($H63="",FALSE,COUNTIF('Plan setup'!$A$25:$A$34,$H63)=0),"Rep 2 not in Plan setup",IF(COUNTIF('Plan setup'!$A$17:$A$21,$D63)=0,"Unknown deal type",IF($P63="Outside window","Clawback outside window: not reversed","OK"))))))</f>
        <v/>
      </c>
      <c r="S63">
        <f>AND(ISNUMBER($B63),OR($F63=Statement!$C$3,$H63=Statement!$C$3),OR(AND($B63&gt;=Statement!$C$6,$B63&lt;=Statement!$C$7),AND(ISNUMBER($Q63),$Q63&gt;=Statement!$C$6,$Q63&lt;=Statement!$C$7)))</f>
        <v/>
      </c>
      <c r="T63">
        <f>IF($S63,COUNTIF($S$2:$S63,TRUE),"")</f>
        <v/>
      </c>
      <c r="U63" s="17">
        <f>IF($F63=Statement!$C$3,$N63,0)+IF($H63=Statement!$C$3,$O63,0)</f>
        <v/>
      </c>
      <c r="V63" s="17">
        <f>IF(NOT($S63),0,IF(AND($B63&gt;=Statement!$C$6,$B63&lt;=Statement!$C$7),$U63,0)-IF(ISNUMBER($Q63),IF(AND($Q63&gt;=Statement!$C$6,$Q63&lt;=Statement!$C$7),$U63,0),0))</f>
        <v/>
      </c>
      <c r="W63" s="23">
        <f>IF($F63=Statement!$C$3,$G63,0)+IF($H63=Statement!$C$3,IF($I63="",0,$I63),0)</f>
        <v/>
      </c>
      <c r="X63">
        <f>IF(NOT($S63),"",IF(ISNUMBER($Q63),IF(AND($Q63&gt;=Statement!$C$6,$Q63&lt;=Statement!$C$7),"Clawback: credit reversed",""),"")&amp;IF(AND($B63&gt;=Statement!$C$6,$B63&lt;=Statement!$C$7,N($L63)&lt;1),"Partial credit: "&amp;TEXT($L63,"0%"),""))</f>
        <v/>
      </c>
    </row>
    <row r="64">
      <c r="A64" s="19" t="n"/>
      <c r="B64" s="20" t="n"/>
      <c r="C64" s="19" t="n"/>
      <c r="D64" s="19" t="n"/>
      <c r="E64" s="21" t="n"/>
      <c r="F64" s="19" t="n"/>
      <c r="G64" s="22" t="n"/>
      <c r="H64" s="19" t="n"/>
      <c r="I64" s="22" t="n"/>
      <c r="J64" s="20" t="n"/>
      <c r="K64" s="19" t="n"/>
      <c r="L64" s="23">
        <f>IF($E64="","",IFERROR(VLOOKUP($D64,'Plan setup'!$A$17:$B$21,2,FALSE),0))</f>
        <v/>
      </c>
      <c r="M64" s="17">
        <f>IF($E64="","",$E64*$L64)</f>
        <v/>
      </c>
      <c r="N64" s="17">
        <f>IF(OR($E64="",$F64=""),0,$M64*$G64)</f>
        <v/>
      </c>
      <c r="O64" s="17">
        <f>IF(OR($E64="",$H64=""),0,$M64*$I64)</f>
        <v/>
      </c>
      <c r="P64">
        <f>IF($J64="","",IF($J64-$B64&lt;='Plan setup'!$B$5,"Reversed","Outside window"))</f>
        <v/>
      </c>
      <c r="Q64" s="24">
        <f>IF($P64="Reversed",$J64,"")</f>
        <v/>
      </c>
      <c r="R64">
        <f>IF($E64="","",IF(ABS($G64+IF($I64="",0,$I64)-1)&gt;0.0001,"Splits must total 100%",IF(COUNTIF('Plan setup'!$A$25:$A$34,$F64)=0,"Rep 1 not in Plan setup",IF(IF($H64="",FALSE,COUNTIF('Plan setup'!$A$25:$A$34,$H64)=0),"Rep 2 not in Plan setup",IF(COUNTIF('Plan setup'!$A$17:$A$21,$D64)=0,"Unknown deal type",IF($P64="Outside window","Clawback outside window: not reversed","OK"))))))</f>
        <v/>
      </c>
      <c r="S64">
        <f>AND(ISNUMBER($B64),OR($F64=Statement!$C$3,$H64=Statement!$C$3),OR(AND($B64&gt;=Statement!$C$6,$B64&lt;=Statement!$C$7),AND(ISNUMBER($Q64),$Q64&gt;=Statement!$C$6,$Q64&lt;=Statement!$C$7)))</f>
        <v/>
      </c>
      <c r="T64">
        <f>IF($S64,COUNTIF($S$2:$S64,TRUE),"")</f>
        <v/>
      </c>
      <c r="U64" s="17">
        <f>IF($F64=Statement!$C$3,$N64,0)+IF($H64=Statement!$C$3,$O64,0)</f>
        <v/>
      </c>
      <c r="V64" s="17">
        <f>IF(NOT($S64),0,IF(AND($B64&gt;=Statement!$C$6,$B64&lt;=Statement!$C$7),$U64,0)-IF(ISNUMBER($Q64),IF(AND($Q64&gt;=Statement!$C$6,$Q64&lt;=Statement!$C$7),$U64,0),0))</f>
        <v/>
      </c>
      <c r="W64" s="23">
        <f>IF($F64=Statement!$C$3,$G64,0)+IF($H64=Statement!$C$3,IF($I64="",0,$I64),0)</f>
        <v/>
      </c>
      <c r="X64">
        <f>IF(NOT($S64),"",IF(ISNUMBER($Q64),IF(AND($Q64&gt;=Statement!$C$6,$Q64&lt;=Statement!$C$7),"Clawback: credit reversed",""),"")&amp;IF(AND($B64&gt;=Statement!$C$6,$B64&lt;=Statement!$C$7,N($L64)&lt;1),"Partial credit: "&amp;TEXT($L64,"0%"),""))</f>
        <v/>
      </c>
    </row>
    <row r="65">
      <c r="A65" s="19" t="n"/>
      <c r="B65" s="20" t="n"/>
      <c r="C65" s="19" t="n"/>
      <c r="D65" s="19" t="n"/>
      <c r="E65" s="21" t="n"/>
      <c r="F65" s="19" t="n"/>
      <c r="G65" s="22" t="n"/>
      <c r="H65" s="19" t="n"/>
      <c r="I65" s="22" t="n"/>
      <c r="J65" s="20" t="n"/>
      <c r="K65" s="19" t="n"/>
      <c r="L65" s="23">
        <f>IF($E65="","",IFERROR(VLOOKUP($D65,'Plan setup'!$A$17:$B$21,2,FALSE),0))</f>
        <v/>
      </c>
      <c r="M65" s="17">
        <f>IF($E65="","",$E65*$L65)</f>
        <v/>
      </c>
      <c r="N65" s="17">
        <f>IF(OR($E65="",$F65=""),0,$M65*$G65)</f>
        <v/>
      </c>
      <c r="O65" s="17">
        <f>IF(OR($E65="",$H65=""),0,$M65*$I65)</f>
        <v/>
      </c>
      <c r="P65">
        <f>IF($J65="","",IF($J65-$B65&lt;='Plan setup'!$B$5,"Reversed","Outside window"))</f>
        <v/>
      </c>
      <c r="Q65" s="24">
        <f>IF($P65="Reversed",$J65,"")</f>
        <v/>
      </c>
      <c r="R65">
        <f>IF($E65="","",IF(ABS($G65+IF($I65="",0,$I65)-1)&gt;0.0001,"Splits must total 100%",IF(COUNTIF('Plan setup'!$A$25:$A$34,$F65)=0,"Rep 1 not in Plan setup",IF(IF($H65="",FALSE,COUNTIF('Plan setup'!$A$25:$A$34,$H65)=0),"Rep 2 not in Plan setup",IF(COUNTIF('Plan setup'!$A$17:$A$21,$D65)=0,"Unknown deal type",IF($P65="Outside window","Clawback outside window: not reversed","OK"))))))</f>
        <v/>
      </c>
      <c r="S65">
        <f>AND(ISNUMBER($B65),OR($F65=Statement!$C$3,$H65=Statement!$C$3),OR(AND($B65&gt;=Statement!$C$6,$B65&lt;=Statement!$C$7),AND(ISNUMBER($Q65),$Q65&gt;=Statement!$C$6,$Q65&lt;=Statement!$C$7)))</f>
        <v/>
      </c>
      <c r="T65">
        <f>IF($S65,COUNTIF($S$2:$S65,TRUE),"")</f>
        <v/>
      </c>
      <c r="U65" s="17">
        <f>IF($F65=Statement!$C$3,$N65,0)+IF($H65=Statement!$C$3,$O65,0)</f>
        <v/>
      </c>
      <c r="V65" s="17">
        <f>IF(NOT($S65),0,IF(AND($B65&gt;=Statement!$C$6,$B65&lt;=Statement!$C$7),$U65,0)-IF(ISNUMBER($Q65),IF(AND($Q65&gt;=Statement!$C$6,$Q65&lt;=Statement!$C$7),$U65,0),0))</f>
        <v/>
      </c>
      <c r="W65" s="23">
        <f>IF($F65=Statement!$C$3,$G65,0)+IF($H65=Statement!$C$3,IF($I65="",0,$I65),0)</f>
        <v/>
      </c>
      <c r="X65">
        <f>IF(NOT($S65),"",IF(ISNUMBER($Q65),IF(AND($Q65&gt;=Statement!$C$6,$Q65&lt;=Statement!$C$7),"Clawback: credit reversed",""),"")&amp;IF(AND($B65&gt;=Statement!$C$6,$B65&lt;=Statement!$C$7,N($L65)&lt;1),"Partial credit: "&amp;TEXT($L65,"0%"),""))</f>
        <v/>
      </c>
    </row>
    <row r="66">
      <c r="A66" s="19" t="n"/>
      <c r="B66" s="20" t="n"/>
      <c r="C66" s="19" t="n"/>
      <c r="D66" s="19" t="n"/>
      <c r="E66" s="21" t="n"/>
      <c r="F66" s="19" t="n"/>
      <c r="G66" s="22" t="n"/>
      <c r="H66" s="19" t="n"/>
      <c r="I66" s="22" t="n"/>
      <c r="J66" s="20" t="n"/>
      <c r="K66" s="19" t="n"/>
      <c r="L66" s="23">
        <f>IF($E66="","",IFERROR(VLOOKUP($D66,'Plan setup'!$A$17:$B$21,2,FALSE),0))</f>
        <v/>
      </c>
      <c r="M66" s="17">
        <f>IF($E66="","",$E66*$L66)</f>
        <v/>
      </c>
      <c r="N66" s="17">
        <f>IF(OR($E66="",$F66=""),0,$M66*$G66)</f>
        <v/>
      </c>
      <c r="O66" s="17">
        <f>IF(OR($E66="",$H66=""),0,$M66*$I66)</f>
        <v/>
      </c>
      <c r="P66">
        <f>IF($J66="","",IF($J66-$B66&lt;='Plan setup'!$B$5,"Reversed","Outside window"))</f>
        <v/>
      </c>
      <c r="Q66" s="24">
        <f>IF($P66="Reversed",$J66,"")</f>
        <v/>
      </c>
      <c r="R66">
        <f>IF($E66="","",IF(ABS($G66+IF($I66="",0,$I66)-1)&gt;0.0001,"Splits must total 100%",IF(COUNTIF('Plan setup'!$A$25:$A$34,$F66)=0,"Rep 1 not in Plan setup",IF(IF($H66="",FALSE,COUNTIF('Plan setup'!$A$25:$A$34,$H66)=0),"Rep 2 not in Plan setup",IF(COUNTIF('Plan setup'!$A$17:$A$21,$D66)=0,"Unknown deal type",IF($P66="Outside window","Clawback outside window: not reversed","OK"))))))</f>
        <v/>
      </c>
      <c r="S66">
        <f>AND(ISNUMBER($B66),OR($F66=Statement!$C$3,$H66=Statement!$C$3),OR(AND($B66&gt;=Statement!$C$6,$B66&lt;=Statement!$C$7),AND(ISNUMBER($Q66),$Q66&gt;=Statement!$C$6,$Q66&lt;=Statement!$C$7)))</f>
        <v/>
      </c>
      <c r="T66">
        <f>IF($S66,COUNTIF($S$2:$S66,TRUE),"")</f>
        <v/>
      </c>
      <c r="U66" s="17">
        <f>IF($F66=Statement!$C$3,$N66,0)+IF($H66=Statement!$C$3,$O66,0)</f>
        <v/>
      </c>
      <c r="V66" s="17">
        <f>IF(NOT($S66),0,IF(AND($B66&gt;=Statement!$C$6,$B66&lt;=Statement!$C$7),$U66,0)-IF(ISNUMBER($Q66),IF(AND($Q66&gt;=Statement!$C$6,$Q66&lt;=Statement!$C$7),$U66,0),0))</f>
        <v/>
      </c>
      <c r="W66" s="23">
        <f>IF($F66=Statement!$C$3,$G66,0)+IF($H66=Statement!$C$3,IF($I66="",0,$I66),0)</f>
        <v/>
      </c>
      <c r="X66">
        <f>IF(NOT($S66),"",IF(ISNUMBER($Q66),IF(AND($Q66&gt;=Statement!$C$6,$Q66&lt;=Statement!$C$7),"Clawback: credit reversed",""),"")&amp;IF(AND($B66&gt;=Statement!$C$6,$B66&lt;=Statement!$C$7,N($L66)&lt;1),"Partial credit: "&amp;TEXT($L66,"0%"),""))</f>
        <v/>
      </c>
    </row>
    <row r="67">
      <c r="A67" s="19" t="n"/>
      <c r="B67" s="20" t="n"/>
      <c r="C67" s="19" t="n"/>
      <c r="D67" s="19" t="n"/>
      <c r="E67" s="21" t="n"/>
      <c r="F67" s="19" t="n"/>
      <c r="G67" s="22" t="n"/>
      <c r="H67" s="19" t="n"/>
      <c r="I67" s="22" t="n"/>
      <c r="J67" s="20" t="n"/>
      <c r="K67" s="19" t="n"/>
      <c r="L67" s="23">
        <f>IF($E67="","",IFERROR(VLOOKUP($D67,'Plan setup'!$A$17:$B$21,2,FALSE),0))</f>
        <v/>
      </c>
      <c r="M67" s="17">
        <f>IF($E67="","",$E67*$L67)</f>
        <v/>
      </c>
      <c r="N67" s="17">
        <f>IF(OR($E67="",$F67=""),0,$M67*$G67)</f>
        <v/>
      </c>
      <c r="O67" s="17">
        <f>IF(OR($E67="",$H67=""),0,$M67*$I67)</f>
        <v/>
      </c>
      <c r="P67">
        <f>IF($J67="","",IF($J67-$B67&lt;='Plan setup'!$B$5,"Reversed","Outside window"))</f>
        <v/>
      </c>
      <c r="Q67" s="24">
        <f>IF($P67="Reversed",$J67,"")</f>
        <v/>
      </c>
      <c r="R67">
        <f>IF($E67="","",IF(ABS($G67+IF($I67="",0,$I67)-1)&gt;0.0001,"Splits must total 100%",IF(COUNTIF('Plan setup'!$A$25:$A$34,$F67)=0,"Rep 1 not in Plan setup",IF(IF($H67="",FALSE,COUNTIF('Plan setup'!$A$25:$A$34,$H67)=0),"Rep 2 not in Plan setup",IF(COUNTIF('Plan setup'!$A$17:$A$21,$D67)=0,"Unknown deal type",IF($P67="Outside window","Clawback outside window: not reversed","OK"))))))</f>
        <v/>
      </c>
      <c r="S67">
        <f>AND(ISNUMBER($B67),OR($F67=Statement!$C$3,$H67=Statement!$C$3),OR(AND($B67&gt;=Statement!$C$6,$B67&lt;=Statement!$C$7),AND(ISNUMBER($Q67),$Q67&gt;=Statement!$C$6,$Q67&lt;=Statement!$C$7)))</f>
        <v/>
      </c>
      <c r="T67">
        <f>IF($S67,COUNTIF($S$2:$S67,TRUE),"")</f>
        <v/>
      </c>
      <c r="U67" s="17">
        <f>IF($F67=Statement!$C$3,$N67,0)+IF($H67=Statement!$C$3,$O67,0)</f>
        <v/>
      </c>
      <c r="V67" s="17">
        <f>IF(NOT($S67),0,IF(AND($B67&gt;=Statement!$C$6,$B67&lt;=Statement!$C$7),$U67,0)-IF(ISNUMBER($Q67),IF(AND($Q67&gt;=Statement!$C$6,$Q67&lt;=Statement!$C$7),$U67,0),0))</f>
        <v/>
      </c>
      <c r="W67" s="23">
        <f>IF($F67=Statement!$C$3,$G67,0)+IF($H67=Statement!$C$3,IF($I67="",0,$I67),0)</f>
        <v/>
      </c>
      <c r="X67">
        <f>IF(NOT($S67),"",IF(ISNUMBER($Q67),IF(AND($Q67&gt;=Statement!$C$6,$Q67&lt;=Statement!$C$7),"Clawback: credit reversed",""),"")&amp;IF(AND($B67&gt;=Statement!$C$6,$B67&lt;=Statement!$C$7,N($L67)&lt;1),"Partial credit: "&amp;TEXT($L67,"0%"),""))</f>
        <v/>
      </c>
    </row>
    <row r="68">
      <c r="A68" s="19" t="n"/>
      <c r="B68" s="20" t="n"/>
      <c r="C68" s="19" t="n"/>
      <c r="D68" s="19" t="n"/>
      <c r="E68" s="21" t="n"/>
      <c r="F68" s="19" t="n"/>
      <c r="G68" s="22" t="n"/>
      <c r="H68" s="19" t="n"/>
      <c r="I68" s="22" t="n"/>
      <c r="J68" s="20" t="n"/>
      <c r="K68" s="19" t="n"/>
      <c r="L68" s="23">
        <f>IF($E68="","",IFERROR(VLOOKUP($D68,'Plan setup'!$A$17:$B$21,2,FALSE),0))</f>
        <v/>
      </c>
      <c r="M68" s="17">
        <f>IF($E68="","",$E68*$L68)</f>
        <v/>
      </c>
      <c r="N68" s="17">
        <f>IF(OR($E68="",$F68=""),0,$M68*$G68)</f>
        <v/>
      </c>
      <c r="O68" s="17">
        <f>IF(OR($E68="",$H68=""),0,$M68*$I68)</f>
        <v/>
      </c>
      <c r="P68">
        <f>IF($J68="","",IF($J68-$B68&lt;='Plan setup'!$B$5,"Reversed","Outside window"))</f>
        <v/>
      </c>
      <c r="Q68" s="24">
        <f>IF($P68="Reversed",$J68,"")</f>
        <v/>
      </c>
      <c r="R68">
        <f>IF($E68="","",IF(ABS($G68+IF($I68="",0,$I68)-1)&gt;0.0001,"Splits must total 100%",IF(COUNTIF('Plan setup'!$A$25:$A$34,$F68)=0,"Rep 1 not in Plan setup",IF(IF($H68="",FALSE,COUNTIF('Plan setup'!$A$25:$A$34,$H68)=0),"Rep 2 not in Plan setup",IF(COUNTIF('Plan setup'!$A$17:$A$21,$D68)=0,"Unknown deal type",IF($P68="Outside window","Clawback outside window: not reversed","OK"))))))</f>
        <v/>
      </c>
      <c r="S68">
        <f>AND(ISNUMBER($B68),OR($F68=Statement!$C$3,$H68=Statement!$C$3),OR(AND($B68&gt;=Statement!$C$6,$B68&lt;=Statement!$C$7),AND(ISNUMBER($Q68),$Q68&gt;=Statement!$C$6,$Q68&lt;=Statement!$C$7)))</f>
        <v/>
      </c>
      <c r="T68">
        <f>IF($S68,COUNTIF($S$2:$S68,TRUE),"")</f>
        <v/>
      </c>
      <c r="U68" s="17">
        <f>IF($F68=Statement!$C$3,$N68,0)+IF($H68=Statement!$C$3,$O68,0)</f>
        <v/>
      </c>
      <c r="V68" s="17">
        <f>IF(NOT($S68),0,IF(AND($B68&gt;=Statement!$C$6,$B68&lt;=Statement!$C$7),$U68,0)-IF(ISNUMBER($Q68),IF(AND($Q68&gt;=Statement!$C$6,$Q68&lt;=Statement!$C$7),$U68,0),0))</f>
        <v/>
      </c>
      <c r="W68" s="23">
        <f>IF($F68=Statement!$C$3,$G68,0)+IF($H68=Statement!$C$3,IF($I68="",0,$I68),0)</f>
        <v/>
      </c>
      <c r="X68">
        <f>IF(NOT($S68),"",IF(ISNUMBER($Q68),IF(AND($Q68&gt;=Statement!$C$6,$Q68&lt;=Statement!$C$7),"Clawback: credit reversed",""),"")&amp;IF(AND($B68&gt;=Statement!$C$6,$B68&lt;=Statement!$C$7,N($L68)&lt;1),"Partial credit: "&amp;TEXT($L68,"0%"),""))</f>
        <v/>
      </c>
    </row>
    <row r="69">
      <c r="A69" s="19" t="n"/>
      <c r="B69" s="20" t="n"/>
      <c r="C69" s="19" t="n"/>
      <c r="D69" s="19" t="n"/>
      <c r="E69" s="21" t="n"/>
      <c r="F69" s="19" t="n"/>
      <c r="G69" s="22" t="n"/>
      <c r="H69" s="19" t="n"/>
      <c r="I69" s="22" t="n"/>
      <c r="J69" s="20" t="n"/>
      <c r="K69" s="19" t="n"/>
      <c r="L69" s="23">
        <f>IF($E69="","",IFERROR(VLOOKUP($D69,'Plan setup'!$A$17:$B$21,2,FALSE),0))</f>
        <v/>
      </c>
      <c r="M69" s="17">
        <f>IF($E69="","",$E69*$L69)</f>
        <v/>
      </c>
      <c r="N69" s="17">
        <f>IF(OR($E69="",$F69=""),0,$M69*$G69)</f>
        <v/>
      </c>
      <c r="O69" s="17">
        <f>IF(OR($E69="",$H69=""),0,$M69*$I69)</f>
        <v/>
      </c>
      <c r="P69">
        <f>IF($J69="","",IF($J69-$B69&lt;='Plan setup'!$B$5,"Reversed","Outside window"))</f>
        <v/>
      </c>
      <c r="Q69" s="24">
        <f>IF($P69="Reversed",$J69,"")</f>
        <v/>
      </c>
      <c r="R69">
        <f>IF($E69="","",IF(ABS($G69+IF($I69="",0,$I69)-1)&gt;0.0001,"Splits must total 100%",IF(COUNTIF('Plan setup'!$A$25:$A$34,$F69)=0,"Rep 1 not in Plan setup",IF(IF($H69="",FALSE,COUNTIF('Plan setup'!$A$25:$A$34,$H69)=0),"Rep 2 not in Plan setup",IF(COUNTIF('Plan setup'!$A$17:$A$21,$D69)=0,"Unknown deal type",IF($P69="Outside window","Clawback outside window: not reversed","OK"))))))</f>
        <v/>
      </c>
      <c r="S69">
        <f>AND(ISNUMBER($B69),OR($F69=Statement!$C$3,$H69=Statement!$C$3),OR(AND($B69&gt;=Statement!$C$6,$B69&lt;=Statement!$C$7),AND(ISNUMBER($Q69),$Q69&gt;=Statement!$C$6,$Q69&lt;=Statement!$C$7)))</f>
        <v/>
      </c>
      <c r="T69">
        <f>IF($S69,COUNTIF($S$2:$S69,TRUE),"")</f>
        <v/>
      </c>
      <c r="U69" s="17">
        <f>IF($F69=Statement!$C$3,$N69,0)+IF($H69=Statement!$C$3,$O69,0)</f>
        <v/>
      </c>
      <c r="V69" s="17">
        <f>IF(NOT($S69),0,IF(AND($B69&gt;=Statement!$C$6,$B69&lt;=Statement!$C$7),$U69,0)-IF(ISNUMBER($Q69),IF(AND($Q69&gt;=Statement!$C$6,$Q69&lt;=Statement!$C$7),$U69,0),0))</f>
        <v/>
      </c>
      <c r="W69" s="23">
        <f>IF($F69=Statement!$C$3,$G69,0)+IF($H69=Statement!$C$3,IF($I69="",0,$I69),0)</f>
        <v/>
      </c>
      <c r="X69">
        <f>IF(NOT($S69),"",IF(ISNUMBER($Q69),IF(AND($Q69&gt;=Statement!$C$6,$Q69&lt;=Statement!$C$7),"Clawback: credit reversed",""),"")&amp;IF(AND($B69&gt;=Statement!$C$6,$B69&lt;=Statement!$C$7,N($L69)&lt;1),"Partial credit: "&amp;TEXT($L69,"0%"),""))</f>
        <v/>
      </c>
    </row>
    <row r="70">
      <c r="A70" s="19" t="n"/>
      <c r="B70" s="20" t="n"/>
      <c r="C70" s="19" t="n"/>
      <c r="D70" s="19" t="n"/>
      <c r="E70" s="21" t="n"/>
      <c r="F70" s="19" t="n"/>
      <c r="G70" s="22" t="n"/>
      <c r="H70" s="19" t="n"/>
      <c r="I70" s="22" t="n"/>
      <c r="J70" s="20" t="n"/>
      <c r="K70" s="19" t="n"/>
      <c r="L70" s="23">
        <f>IF($E70="","",IFERROR(VLOOKUP($D70,'Plan setup'!$A$17:$B$21,2,FALSE),0))</f>
        <v/>
      </c>
      <c r="M70" s="17">
        <f>IF($E70="","",$E70*$L70)</f>
        <v/>
      </c>
      <c r="N70" s="17">
        <f>IF(OR($E70="",$F70=""),0,$M70*$G70)</f>
        <v/>
      </c>
      <c r="O70" s="17">
        <f>IF(OR($E70="",$H70=""),0,$M70*$I70)</f>
        <v/>
      </c>
      <c r="P70">
        <f>IF($J70="","",IF($J70-$B70&lt;='Plan setup'!$B$5,"Reversed","Outside window"))</f>
        <v/>
      </c>
      <c r="Q70" s="24">
        <f>IF($P70="Reversed",$J70,"")</f>
        <v/>
      </c>
      <c r="R70">
        <f>IF($E70="","",IF(ABS($G70+IF($I70="",0,$I70)-1)&gt;0.0001,"Splits must total 100%",IF(COUNTIF('Plan setup'!$A$25:$A$34,$F70)=0,"Rep 1 not in Plan setup",IF(IF($H70="",FALSE,COUNTIF('Plan setup'!$A$25:$A$34,$H70)=0),"Rep 2 not in Plan setup",IF(COUNTIF('Plan setup'!$A$17:$A$21,$D70)=0,"Unknown deal type",IF($P70="Outside window","Clawback outside window: not reversed","OK"))))))</f>
        <v/>
      </c>
      <c r="S70">
        <f>AND(ISNUMBER($B70),OR($F70=Statement!$C$3,$H70=Statement!$C$3),OR(AND($B70&gt;=Statement!$C$6,$B70&lt;=Statement!$C$7),AND(ISNUMBER($Q70),$Q70&gt;=Statement!$C$6,$Q70&lt;=Statement!$C$7)))</f>
        <v/>
      </c>
      <c r="T70">
        <f>IF($S70,COUNTIF($S$2:$S70,TRUE),"")</f>
        <v/>
      </c>
      <c r="U70" s="17">
        <f>IF($F70=Statement!$C$3,$N70,0)+IF($H70=Statement!$C$3,$O70,0)</f>
        <v/>
      </c>
      <c r="V70" s="17">
        <f>IF(NOT($S70),0,IF(AND($B70&gt;=Statement!$C$6,$B70&lt;=Statement!$C$7),$U70,0)-IF(ISNUMBER($Q70),IF(AND($Q70&gt;=Statement!$C$6,$Q70&lt;=Statement!$C$7),$U70,0),0))</f>
        <v/>
      </c>
      <c r="W70" s="23">
        <f>IF($F70=Statement!$C$3,$G70,0)+IF($H70=Statement!$C$3,IF($I70="",0,$I70),0)</f>
        <v/>
      </c>
      <c r="X70">
        <f>IF(NOT($S70),"",IF(ISNUMBER($Q70),IF(AND($Q70&gt;=Statement!$C$6,$Q70&lt;=Statement!$C$7),"Clawback: credit reversed",""),"")&amp;IF(AND($B70&gt;=Statement!$C$6,$B70&lt;=Statement!$C$7,N($L70)&lt;1),"Partial credit: "&amp;TEXT($L70,"0%"),""))</f>
        <v/>
      </c>
    </row>
    <row r="71">
      <c r="A71" s="19" t="n"/>
      <c r="B71" s="20" t="n"/>
      <c r="C71" s="19" t="n"/>
      <c r="D71" s="19" t="n"/>
      <c r="E71" s="21" t="n"/>
      <c r="F71" s="19" t="n"/>
      <c r="G71" s="22" t="n"/>
      <c r="H71" s="19" t="n"/>
      <c r="I71" s="22" t="n"/>
      <c r="J71" s="20" t="n"/>
      <c r="K71" s="19" t="n"/>
      <c r="L71" s="23">
        <f>IF($E71="","",IFERROR(VLOOKUP($D71,'Plan setup'!$A$17:$B$21,2,FALSE),0))</f>
        <v/>
      </c>
      <c r="M71" s="17">
        <f>IF($E71="","",$E71*$L71)</f>
        <v/>
      </c>
      <c r="N71" s="17">
        <f>IF(OR($E71="",$F71=""),0,$M71*$G71)</f>
        <v/>
      </c>
      <c r="O71" s="17">
        <f>IF(OR($E71="",$H71=""),0,$M71*$I71)</f>
        <v/>
      </c>
      <c r="P71">
        <f>IF($J71="","",IF($J71-$B71&lt;='Plan setup'!$B$5,"Reversed","Outside window"))</f>
        <v/>
      </c>
      <c r="Q71" s="24">
        <f>IF($P71="Reversed",$J71,"")</f>
        <v/>
      </c>
      <c r="R71">
        <f>IF($E71="","",IF(ABS($G71+IF($I71="",0,$I71)-1)&gt;0.0001,"Splits must total 100%",IF(COUNTIF('Plan setup'!$A$25:$A$34,$F71)=0,"Rep 1 not in Plan setup",IF(IF($H71="",FALSE,COUNTIF('Plan setup'!$A$25:$A$34,$H71)=0),"Rep 2 not in Plan setup",IF(COUNTIF('Plan setup'!$A$17:$A$21,$D71)=0,"Unknown deal type",IF($P71="Outside window","Clawback outside window: not reversed","OK"))))))</f>
        <v/>
      </c>
      <c r="S71">
        <f>AND(ISNUMBER($B71),OR($F71=Statement!$C$3,$H71=Statement!$C$3),OR(AND($B71&gt;=Statement!$C$6,$B71&lt;=Statement!$C$7),AND(ISNUMBER($Q71),$Q71&gt;=Statement!$C$6,$Q71&lt;=Statement!$C$7)))</f>
        <v/>
      </c>
      <c r="T71">
        <f>IF($S71,COUNTIF($S$2:$S71,TRUE),"")</f>
        <v/>
      </c>
      <c r="U71" s="17">
        <f>IF($F71=Statement!$C$3,$N71,0)+IF($H71=Statement!$C$3,$O71,0)</f>
        <v/>
      </c>
      <c r="V71" s="17">
        <f>IF(NOT($S71),0,IF(AND($B71&gt;=Statement!$C$6,$B71&lt;=Statement!$C$7),$U71,0)-IF(ISNUMBER($Q71),IF(AND($Q71&gt;=Statement!$C$6,$Q71&lt;=Statement!$C$7),$U71,0),0))</f>
        <v/>
      </c>
      <c r="W71" s="23">
        <f>IF($F71=Statement!$C$3,$G71,0)+IF($H71=Statement!$C$3,IF($I71="",0,$I71),0)</f>
        <v/>
      </c>
      <c r="X71">
        <f>IF(NOT($S71),"",IF(ISNUMBER($Q71),IF(AND($Q71&gt;=Statement!$C$6,$Q71&lt;=Statement!$C$7),"Clawback: credit reversed",""),"")&amp;IF(AND($B71&gt;=Statement!$C$6,$B71&lt;=Statement!$C$7,N($L71)&lt;1),"Partial credit: "&amp;TEXT($L71,"0%"),""))</f>
        <v/>
      </c>
    </row>
    <row r="72">
      <c r="A72" s="19" t="n"/>
      <c r="B72" s="20" t="n"/>
      <c r="C72" s="19" t="n"/>
      <c r="D72" s="19" t="n"/>
      <c r="E72" s="21" t="n"/>
      <c r="F72" s="19" t="n"/>
      <c r="G72" s="22" t="n"/>
      <c r="H72" s="19" t="n"/>
      <c r="I72" s="22" t="n"/>
      <c r="J72" s="20" t="n"/>
      <c r="K72" s="19" t="n"/>
      <c r="L72" s="23">
        <f>IF($E72="","",IFERROR(VLOOKUP($D72,'Plan setup'!$A$17:$B$21,2,FALSE),0))</f>
        <v/>
      </c>
      <c r="M72" s="17">
        <f>IF($E72="","",$E72*$L72)</f>
        <v/>
      </c>
      <c r="N72" s="17">
        <f>IF(OR($E72="",$F72=""),0,$M72*$G72)</f>
        <v/>
      </c>
      <c r="O72" s="17">
        <f>IF(OR($E72="",$H72=""),0,$M72*$I72)</f>
        <v/>
      </c>
      <c r="P72">
        <f>IF($J72="","",IF($J72-$B72&lt;='Plan setup'!$B$5,"Reversed","Outside window"))</f>
        <v/>
      </c>
      <c r="Q72" s="24">
        <f>IF($P72="Reversed",$J72,"")</f>
        <v/>
      </c>
      <c r="R72">
        <f>IF($E72="","",IF(ABS($G72+IF($I72="",0,$I72)-1)&gt;0.0001,"Splits must total 100%",IF(COUNTIF('Plan setup'!$A$25:$A$34,$F72)=0,"Rep 1 not in Plan setup",IF(IF($H72="",FALSE,COUNTIF('Plan setup'!$A$25:$A$34,$H72)=0),"Rep 2 not in Plan setup",IF(COUNTIF('Plan setup'!$A$17:$A$21,$D72)=0,"Unknown deal type",IF($P72="Outside window","Clawback outside window: not reversed","OK"))))))</f>
        <v/>
      </c>
      <c r="S72">
        <f>AND(ISNUMBER($B72),OR($F72=Statement!$C$3,$H72=Statement!$C$3),OR(AND($B72&gt;=Statement!$C$6,$B72&lt;=Statement!$C$7),AND(ISNUMBER($Q72),$Q72&gt;=Statement!$C$6,$Q72&lt;=Statement!$C$7)))</f>
        <v/>
      </c>
      <c r="T72">
        <f>IF($S72,COUNTIF($S$2:$S72,TRUE),"")</f>
        <v/>
      </c>
      <c r="U72" s="17">
        <f>IF($F72=Statement!$C$3,$N72,0)+IF($H72=Statement!$C$3,$O72,0)</f>
        <v/>
      </c>
      <c r="V72" s="17">
        <f>IF(NOT($S72),0,IF(AND($B72&gt;=Statement!$C$6,$B72&lt;=Statement!$C$7),$U72,0)-IF(ISNUMBER($Q72),IF(AND($Q72&gt;=Statement!$C$6,$Q72&lt;=Statement!$C$7),$U72,0),0))</f>
        <v/>
      </c>
      <c r="W72" s="23">
        <f>IF($F72=Statement!$C$3,$G72,0)+IF($H72=Statement!$C$3,IF($I72="",0,$I72),0)</f>
        <v/>
      </c>
      <c r="X72">
        <f>IF(NOT($S72),"",IF(ISNUMBER($Q72),IF(AND($Q72&gt;=Statement!$C$6,$Q72&lt;=Statement!$C$7),"Clawback: credit reversed",""),"")&amp;IF(AND($B72&gt;=Statement!$C$6,$B72&lt;=Statement!$C$7,N($L72)&lt;1),"Partial credit: "&amp;TEXT($L72,"0%"),""))</f>
        <v/>
      </c>
    </row>
    <row r="73">
      <c r="A73" s="19" t="n"/>
      <c r="B73" s="20" t="n"/>
      <c r="C73" s="19" t="n"/>
      <c r="D73" s="19" t="n"/>
      <c r="E73" s="21" t="n"/>
      <c r="F73" s="19" t="n"/>
      <c r="G73" s="22" t="n"/>
      <c r="H73" s="19" t="n"/>
      <c r="I73" s="22" t="n"/>
      <c r="J73" s="20" t="n"/>
      <c r="K73" s="19" t="n"/>
      <c r="L73" s="23">
        <f>IF($E73="","",IFERROR(VLOOKUP($D73,'Plan setup'!$A$17:$B$21,2,FALSE),0))</f>
        <v/>
      </c>
      <c r="M73" s="17">
        <f>IF($E73="","",$E73*$L73)</f>
        <v/>
      </c>
      <c r="N73" s="17">
        <f>IF(OR($E73="",$F73=""),0,$M73*$G73)</f>
        <v/>
      </c>
      <c r="O73" s="17">
        <f>IF(OR($E73="",$H73=""),0,$M73*$I73)</f>
        <v/>
      </c>
      <c r="P73">
        <f>IF($J73="","",IF($J73-$B73&lt;='Plan setup'!$B$5,"Reversed","Outside window"))</f>
        <v/>
      </c>
      <c r="Q73" s="24">
        <f>IF($P73="Reversed",$J73,"")</f>
        <v/>
      </c>
      <c r="R73">
        <f>IF($E73="","",IF(ABS($G73+IF($I73="",0,$I73)-1)&gt;0.0001,"Splits must total 100%",IF(COUNTIF('Plan setup'!$A$25:$A$34,$F73)=0,"Rep 1 not in Plan setup",IF(IF($H73="",FALSE,COUNTIF('Plan setup'!$A$25:$A$34,$H73)=0),"Rep 2 not in Plan setup",IF(COUNTIF('Plan setup'!$A$17:$A$21,$D73)=0,"Unknown deal type",IF($P73="Outside window","Clawback outside window: not reversed","OK"))))))</f>
        <v/>
      </c>
      <c r="S73">
        <f>AND(ISNUMBER($B73),OR($F73=Statement!$C$3,$H73=Statement!$C$3),OR(AND($B73&gt;=Statement!$C$6,$B73&lt;=Statement!$C$7),AND(ISNUMBER($Q73),$Q73&gt;=Statement!$C$6,$Q73&lt;=Statement!$C$7)))</f>
        <v/>
      </c>
      <c r="T73">
        <f>IF($S73,COUNTIF($S$2:$S73,TRUE),"")</f>
        <v/>
      </c>
      <c r="U73" s="17">
        <f>IF($F73=Statement!$C$3,$N73,0)+IF($H73=Statement!$C$3,$O73,0)</f>
        <v/>
      </c>
      <c r="V73" s="17">
        <f>IF(NOT($S73),0,IF(AND($B73&gt;=Statement!$C$6,$B73&lt;=Statement!$C$7),$U73,0)-IF(ISNUMBER($Q73),IF(AND($Q73&gt;=Statement!$C$6,$Q73&lt;=Statement!$C$7),$U73,0),0))</f>
        <v/>
      </c>
      <c r="W73" s="23">
        <f>IF($F73=Statement!$C$3,$G73,0)+IF($H73=Statement!$C$3,IF($I73="",0,$I73),0)</f>
        <v/>
      </c>
      <c r="X73">
        <f>IF(NOT($S73),"",IF(ISNUMBER($Q73),IF(AND($Q73&gt;=Statement!$C$6,$Q73&lt;=Statement!$C$7),"Clawback: credit reversed",""),"")&amp;IF(AND($B73&gt;=Statement!$C$6,$B73&lt;=Statement!$C$7,N($L73)&lt;1),"Partial credit: "&amp;TEXT($L73,"0%"),""))</f>
        <v/>
      </c>
    </row>
    <row r="74">
      <c r="A74" s="19" t="n"/>
      <c r="B74" s="20" t="n"/>
      <c r="C74" s="19" t="n"/>
      <c r="D74" s="19" t="n"/>
      <c r="E74" s="21" t="n"/>
      <c r="F74" s="19" t="n"/>
      <c r="G74" s="22" t="n"/>
      <c r="H74" s="19" t="n"/>
      <c r="I74" s="22" t="n"/>
      <c r="J74" s="20" t="n"/>
      <c r="K74" s="19" t="n"/>
      <c r="L74" s="23">
        <f>IF($E74="","",IFERROR(VLOOKUP($D74,'Plan setup'!$A$17:$B$21,2,FALSE),0))</f>
        <v/>
      </c>
      <c r="M74" s="17">
        <f>IF($E74="","",$E74*$L74)</f>
        <v/>
      </c>
      <c r="N74" s="17">
        <f>IF(OR($E74="",$F74=""),0,$M74*$G74)</f>
        <v/>
      </c>
      <c r="O74" s="17">
        <f>IF(OR($E74="",$H74=""),0,$M74*$I74)</f>
        <v/>
      </c>
      <c r="P74">
        <f>IF($J74="","",IF($J74-$B74&lt;='Plan setup'!$B$5,"Reversed","Outside window"))</f>
        <v/>
      </c>
      <c r="Q74" s="24">
        <f>IF($P74="Reversed",$J74,"")</f>
        <v/>
      </c>
      <c r="R74">
        <f>IF($E74="","",IF(ABS($G74+IF($I74="",0,$I74)-1)&gt;0.0001,"Splits must total 100%",IF(COUNTIF('Plan setup'!$A$25:$A$34,$F74)=0,"Rep 1 not in Plan setup",IF(IF($H74="",FALSE,COUNTIF('Plan setup'!$A$25:$A$34,$H74)=0),"Rep 2 not in Plan setup",IF(COUNTIF('Plan setup'!$A$17:$A$21,$D74)=0,"Unknown deal type",IF($P74="Outside window","Clawback outside window: not reversed","OK"))))))</f>
        <v/>
      </c>
      <c r="S74">
        <f>AND(ISNUMBER($B74),OR($F74=Statement!$C$3,$H74=Statement!$C$3),OR(AND($B74&gt;=Statement!$C$6,$B74&lt;=Statement!$C$7),AND(ISNUMBER($Q74),$Q74&gt;=Statement!$C$6,$Q74&lt;=Statement!$C$7)))</f>
        <v/>
      </c>
      <c r="T74">
        <f>IF($S74,COUNTIF($S$2:$S74,TRUE),"")</f>
        <v/>
      </c>
      <c r="U74" s="17">
        <f>IF($F74=Statement!$C$3,$N74,0)+IF($H74=Statement!$C$3,$O74,0)</f>
        <v/>
      </c>
      <c r="V74" s="17">
        <f>IF(NOT($S74),0,IF(AND($B74&gt;=Statement!$C$6,$B74&lt;=Statement!$C$7),$U74,0)-IF(ISNUMBER($Q74),IF(AND($Q74&gt;=Statement!$C$6,$Q74&lt;=Statement!$C$7),$U74,0),0))</f>
        <v/>
      </c>
      <c r="W74" s="23">
        <f>IF($F74=Statement!$C$3,$G74,0)+IF($H74=Statement!$C$3,IF($I74="",0,$I74),0)</f>
        <v/>
      </c>
      <c r="X74">
        <f>IF(NOT($S74),"",IF(ISNUMBER($Q74),IF(AND($Q74&gt;=Statement!$C$6,$Q74&lt;=Statement!$C$7),"Clawback: credit reversed",""),"")&amp;IF(AND($B74&gt;=Statement!$C$6,$B74&lt;=Statement!$C$7,N($L74)&lt;1),"Partial credit: "&amp;TEXT($L74,"0%"),""))</f>
        <v/>
      </c>
    </row>
    <row r="75">
      <c r="A75" s="19" t="n"/>
      <c r="B75" s="20" t="n"/>
      <c r="C75" s="19" t="n"/>
      <c r="D75" s="19" t="n"/>
      <c r="E75" s="21" t="n"/>
      <c r="F75" s="19" t="n"/>
      <c r="G75" s="22" t="n"/>
      <c r="H75" s="19" t="n"/>
      <c r="I75" s="22" t="n"/>
      <c r="J75" s="20" t="n"/>
      <c r="K75" s="19" t="n"/>
      <c r="L75" s="23">
        <f>IF($E75="","",IFERROR(VLOOKUP($D75,'Plan setup'!$A$17:$B$21,2,FALSE),0))</f>
        <v/>
      </c>
      <c r="M75" s="17">
        <f>IF($E75="","",$E75*$L75)</f>
        <v/>
      </c>
      <c r="N75" s="17">
        <f>IF(OR($E75="",$F75=""),0,$M75*$G75)</f>
        <v/>
      </c>
      <c r="O75" s="17">
        <f>IF(OR($E75="",$H75=""),0,$M75*$I75)</f>
        <v/>
      </c>
      <c r="P75">
        <f>IF($J75="","",IF($J75-$B75&lt;='Plan setup'!$B$5,"Reversed","Outside window"))</f>
        <v/>
      </c>
      <c r="Q75" s="24">
        <f>IF($P75="Reversed",$J75,"")</f>
        <v/>
      </c>
      <c r="R75">
        <f>IF($E75="","",IF(ABS($G75+IF($I75="",0,$I75)-1)&gt;0.0001,"Splits must total 100%",IF(COUNTIF('Plan setup'!$A$25:$A$34,$F75)=0,"Rep 1 not in Plan setup",IF(IF($H75="",FALSE,COUNTIF('Plan setup'!$A$25:$A$34,$H75)=0),"Rep 2 not in Plan setup",IF(COUNTIF('Plan setup'!$A$17:$A$21,$D75)=0,"Unknown deal type",IF($P75="Outside window","Clawback outside window: not reversed","OK"))))))</f>
        <v/>
      </c>
      <c r="S75">
        <f>AND(ISNUMBER($B75),OR($F75=Statement!$C$3,$H75=Statement!$C$3),OR(AND($B75&gt;=Statement!$C$6,$B75&lt;=Statement!$C$7),AND(ISNUMBER($Q75),$Q75&gt;=Statement!$C$6,$Q75&lt;=Statement!$C$7)))</f>
        <v/>
      </c>
      <c r="T75">
        <f>IF($S75,COUNTIF($S$2:$S75,TRUE),"")</f>
        <v/>
      </c>
      <c r="U75" s="17">
        <f>IF($F75=Statement!$C$3,$N75,0)+IF($H75=Statement!$C$3,$O75,0)</f>
        <v/>
      </c>
      <c r="V75" s="17">
        <f>IF(NOT($S75),0,IF(AND($B75&gt;=Statement!$C$6,$B75&lt;=Statement!$C$7),$U75,0)-IF(ISNUMBER($Q75),IF(AND($Q75&gt;=Statement!$C$6,$Q75&lt;=Statement!$C$7),$U75,0),0))</f>
        <v/>
      </c>
      <c r="W75" s="23">
        <f>IF($F75=Statement!$C$3,$G75,0)+IF($H75=Statement!$C$3,IF($I75="",0,$I75),0)</f>
        <v/>
      </c>
      <c r="X75">
        <f>IF(NOT($S75),"",IF(ISNUMBER($Q75),IF(AND($Q75&gt;=Statement!$C$6,$Q75&lt;=Statement!$C$7),"Clawback: credit reversed",""),"")&amp;IF(AND($B75&gt;=Statement!$C$6,$B75&lt;=Statement!$C$7,N($L75)&lt;1),"Partial credit: "&amp;TEXT($L75,"0%"),""))</f>
        <v/>
      </c>
    </row>
    <row r="76">
      <c r="A76" s="19" t="n"/>
      <c r="B76" s="20" t="n"/>
      <c r="C76" s="19" t="n"/>
      <c r="D76" s="19" t="n"/>
      <c r="E76" s="21" t="n"/>
      <c r="F76" s="19" t="n"/>
      <c r="G76" s="22" t="n"/>
      <c r="H76" s="19" t="n"/>
      <c r="I76" s="22" t="n"/>
      <c r="J76" s="20" t="n"/>
      <c r="K76" s="19" t="n"/>
      <c r="L76" s="23">
        <f>IF($E76="","",IFERROR(VLOOKUP($D76,'Plan setup'!$A$17:$B$21,2,FALSE),0))</f>
        <v/>
      </c>
      <c r="M76" s="17">
        <f>IF($E76="","",$E76*$L76)</f>
        <v/>
      </c>
      <c r="N76" s="17">
        <f>IF(OR($E76="",$F76=""),0,$M76*$G76)</f>
        <v/>
      </c>
      <c r="O76" s="17">
        <f>IF(OR($E76="",$H76=""),0,$M76*$I76)</f>
        <v/>
      </c>
      <c r="P76">
        <f>IF($J76="","",IF($J76-$B76&lt;='Plan setup'!$B$5,"Reversed","Outside window"))</f>
        <v/>
      </c>
      <c r="Q76" s="24">
        <f>IF($P76="Reversed",$J76,"")</f>
        <v/>
      </c>
      <c r="R76">
        <f>IF($E76="","",IF(ABS($G76+IF($I76="",0,$I76)-1)&gt;0.0001,"Splits must total 100%",IF(COUNTIF('Plan setup'!$A$25:$A$34,$F76)=0,"Rep 1 not in Plan setup",IF(IF($H76="",FALSE,COUNTIF('Plan setup'!$A$25:$A$34,$H76)=0),"Rep 2 not in Plan setup",IF(COUNTIF('Plan setup'!$A$17:$A$21,$D76)=0,"Unknown deal type",IF($P76="Outside window","Clawback outside window: not reversed","OK"))))))</f>
        <v/>
      </c>
      <c r="S76">
        <f>AND(ISNUMBER($B76),OR($F76=Statement!$C$3,$H76=Statement!$C$3),OR(AND($B76&gt;=Statement!$C$6,$B76&lt;=Statement!$C$7),AND(ISNUMBER($Q76),$Q76&gt;=Statement!$C$6,$Q76&lt;=Statement!$C$7)))</f>
        <v/>
      </c>
      <c r="T76">
        <f>IF($S76,COUNTIF($S$2:$S76,TRUE),"")</f>
        <v/>
      </c>
      <c r="U76" s="17">
        <f>IF($F76=Statement!$C$3,$N76,0)+IF($H76=Statement!$C$3,$O76,0)</f>
        <v/>
      </c>
      <c r="V76" s="17">
        <f>IF(NOT($S76),0,IF(AND($B76&gt;=Statement!$C$6,$B76&lt;=Statement!$C$7),$U76,0)-IF(ISNUMBER($Q76),IF(AND($Q76&gt;=Statement!$C$6,$Q76&lt;=Statement!$C$7),$U76,0),0))</f>
        <v/>
      </c>
      <c r="W76" s="23">
        <f>IF($F76=Statement!$C$3,$G76,0)+IF($H76=Statement!$C$3,IF($I76="",0,$I76),0)</f>
        <v/>
      </c>
      <c r="X76">
        <f>IF(NOT($S76),"",IF(ISNUMBER($Q76),IF(AND($Q76&gt;=Statement!$C$6,$Q76&lt;=Statement!$C$7),"Clawback: credit reversed",""),"")&amp;IF(AND($B76&gt;=Statement!$C$6,$B76&lt;=Statement!$C$7,N($L76)&lt;1),"Partial credit: "&amp;TEXT($L76,"0%"),""))</f>
        <v/>
      </c>
    </row>
    <row r="77">
      <c r="A77" s="19" t="n"/>
      <c r="B77" s="20" t="n"/>
      <c r="C77" s="19" t="n"/>
      <c r="D77" s="19" t="n"/>
      <c r="E77" s="21" t="n"/>
      <c r="F77" s="19" t="n"/>
      <c r="G77" s="22" t="n"/>
      <c r="H77" s="19" t="n"/>
      <c r="I77" s="22" t="n"/>
      <c r="J77" s="20" t="n"/>
      <c r="K77" s="19" t="n"/>
      <c r="L77" s="23">
        <f>IF($E77="","",IFERROR(VLOOKUP($D77,'Plan setup'!$A$17:$B$21,2,FALSE),0))</f>
        <v/>
      </c>
      <c r="M77" s="17">
        <f>IF($E77="","",$E77*$L77)</f>
        <v/>
      </c>
      <c r="N77" s="17">
        <f>IF(OR($E77="",$F77=""),0,$M77*$G77)</f>
        <v/>
      </c>
      <c r="O77" s="17">
        <f>IF(OR($E77="",$H77=""),0,$M77*$I77)</f>
        <v/>
      </c>
      <c r="P77">
        <f>IF($J77="","",IF($J77-$B77&lt;='Plan setup'!$B$5,"Reversed","Outside window"))</f>
        <v/>
      </c>
      <c r="Q77" s="24">
        <f>IF($P77="Reversed",$J77,"")</f>
        <v/>
      </c>
      <c r="R77">
        <f>IF($E77="","",IF(ABS($G77+IF($I77="",0,$I77)-1)&gt;0.0001,"Splits must total 100%",IF(COUNTIF('Plan setup'!$A$25:$A$34,$F77)=0,"Rep 1 not in Plan setup",IF(IF($H77="",FALSE,COUNTIF('Plan setup'!$A$25:$A$34,$H77)=0),"Rep 2 not in Plan setup",IF(COUNTIF('Plan setup'!$A$17:$A$21,$D77)=0,"Unknown deal type",IF($P77="Outside window","Clawback outside window: not reversed","OK"))))))</f>
        <v/>
      </c>
      <c r="S77">
        <f>AND(ISNUMBER($B77),OR($F77=Statement!$C$3,$H77=Statement!$C$3),OR(AND($B77&gt;=Statement!$C$6,$B77&lt;=Statement!$C$7),AND(ISNUMBER($Q77),$Q77&gt;=Statement!$C$6,$Q77&lt;=Statement!$C$7)))</f>
        <v/>
      </c>
      <c r="T77">
        <f>IF($S77,COUNTIF($S$2:$S77,TRUE),"")</f>
        <v/>
      </c>
      <c r="U77" s="17">
        <f>IF($F77=Statement!$C$3,$N77,0)+IF($H77=Statement!$C$3,$O77,0)</f>
        <v/>
      </c>
      <c r="V77" s="17">
        <f>IF(NOT($S77),0,IF(AND($B77&gt;=Statement!$C$6,$B77&lt;=Statement!$C$7),$U77,0)-IF(ISNUMBER($Q77),IF(AND($Q77&gt;=Statement!$C$6,$Q77&lt;=Statement!$C$7),$U77,0),0))</f>
        <v/>
      </c>
      <c r="W77" s="23">
        <f>IF($F77=Statement!$C$3,$G77,0)+IF($H77=Statement!$C$3,IF($I77="",0,$I77),0)</f>
        <v/>
      </c>
      <c r="X77">
        <f>IF(NOT($S77),"",IF(ISNUMBER($Q77),IF(AND($Q77&gt;=Statement!$C$6,$Q77&lt;=Statement!$C$7),"Clawback: credit reversed",""),"")&amp;IF(AND($B77&gt;=Statement!$C$6,$B77&lt;=Statement!$C$7,N($L77)&lt;1),"Partial credit: "&amp;TEXT($L77,"0%"),""))</f>
        <v/>
      </c>
    </row>
    <row r="78">
      <c r="A78" s="19" t="n"/>
      <c r="B78" s="20" t="n"/>
      <c r="C78" s="19" t="n"/>
      <c r="D78" s="19" t="n"/>
      <c r="E78" s="21" t="n"/>
      <c r="F78" s="19" t="n"/>
      <c r="G78" s="22" t="n"/>
      <c r="H78" s="19" t="n"/>
      <c r="I78" s="22" t="n"/>
      <c r="J78" s="20" t="n"/>
      <c r="K78" s="19" t="n"/>
      <c r="L78" s="23">
        <f>IF($E78="","",IFERROR(VLOOKUP($D78,'Plan setup'!$A$17:$B$21,2,FALSE),0))</f>
        <v/>
      </c>
      <c r="M78" s="17">
        <f>IF($E78="","",$E78*$L78)</f>
        <v/>
      </c>
      <c r="N78" s="17">
        <f>IF(OR($E78="",$F78=""),0,$M78*$G78)</f>
        <v/>
      </c>
      <c r="O78" s="17">
        <f>IF(OR($E78="",$H78=""),0,$M78*$I78)</f>
        <v/>
      </c>
      <c r="P78">
        <f>IF($J78="","",IF($J78-$B78&lt;='Plan setup'!$B$5,"Reversed","Outside window"))</f>
        <v/>
      </c>
      <c r="Q78" s="24">
        <f>IF($P78="Reversed",$J78,"")</f>
        <v/>
      </c>
      <c r="R78">
        <f>IF($E78="","",IF(ABS($G78+IF($I78="",0,$I78)-1)&gt;0.0001,"Splits must total 100%",IF(COUNTIF('Plan setup'!$A$25:$A$34,$F78)=0,"Rep 1 not in Plan setup",IF(IF($H78="",FALSE,COUNTIF('Plan setup'!$A$25:$A$34,$H78)=0),"Rep 2 not in Plan setup",IF(COUNTIF('Plan setup'!$A$17:$A$21,$D78)=0,"Unknown deal type",IF($P78="Outside window","Clawback outside window: not reversed","OK"))))))</f>
        <v/>
      </c>
      <c r="S78">
        <f>AND(ISNUMBER($B78),OR($F78=Statement!$C$3,$H78=Statement!$C$3),OR(AND($B78&gt;=Statement!$C$6,$B78&lt;=Statement!$C$7),AND(ISNUMBER($Q78),$Q78&gt;=Statement!$C$6,$Q78&lt;=Statement!$C$7)))</f>
        <v/>
      </c>
      <c r="T78">
        <f>IF($S78,COUNTIF($S$2:$S78,TRUE),"")</f>
        <v/>
      </c>
      <c r="U78" s="17">
        <f>IF($F78=Statement!$C$3,$N78,0)+IF($H78=Statement!$C$3,$O78,0)</f>
        <v/>
      </c>
      <c r="V78" s="17">
        <f>IF(NOT($S78),0,IF(AND($B78&gt;=Statement!$C$6,$B78&lt;=Statement!$C$7),$U78,0)-IF(ISNUMBER($Q78),IF(AND($Q78&gt;=Statement!$C$6,$Q78&lt;=Statement!$C$7),$U78,0),0))</f>
        <v/>
      </c>
      <c r="W78" s="23">
        <f>IF($F78=Statement!$C$3,$G78,0)+IF($H78=Statement!$C$3,IF($I78="",0,$I78),0)</f>
        <v/>
      </c>
      <c r="X78">
        <f>IF(NOT($S78),"",IF(ISNUMBER($Q78),IF(AND($Q78&gt;=Statement!$C$6,$Q78&lt;=Statement!$C$7),"Clawback: credit reversed",""),"")&amp;IF(AND($B78&gt;=Statement!$C$6,$B78&lt;=Statement!$C$7,N($L78)&lt;1),"Partial credit: "&amp;TEXT($L78,"0%"),""))</f>
        <v/>
      </c>
    </row>
    <row r="79">
      <c r="A79" s="19" t="n"/>
      <c r="B79" s="20" t="n"/>
      <c r="C79" s="19" t="n"/>
      <c r="D79" s="19" t="n"/>
      <c r="E79" s="21" t="n"/>
      <c r="F79" s="19" t="n"/>
      <c r="G79" s="22" t="n"/>
      <c r="H79" s="19" t="n"/>
      <c r="I79" s="22" t="n"/>
      <c r="J79" s="20" t="n"/>
      <c r="K79" s="19" t="n"/>
      <c r="L79" s="23">
        <f>IF($E79="","",IFERROR(VLOOKUP($D79,'Plan setup'!$A$17:$B$21,2,FALSE),0))</f>
        <v/>
      </c>
      <c r="M79" s="17">
        <f>IF($E79="","",$E79*$L79)</f>
        <v/>
      </c>
      <c r="N79" s="17">
        <f>IF(OR($E79="",$F79=""),0,$M79*$G79)</f>
        <v/>
      </c>
      <c r="O79" s="17">
        <f>IF(OR($E79="",$H79=""),0,$M79*$I79)</f>
        <v/>
      </c>
      <c r="P79">
        <f>IF($J79="","",IF($J79-$B79&lt;='Plan setup'!$B$5,"Reversed","Outside window"))</f>
        <v/>
      </c>
      <c r="Q79" s="24">
        <f>IF($P79="Reversed",$J79,"")</f>
        <v/>
      </c>
      <c r="R79">
        <f>IF($E79="","",IF(ABS($G79+IF($I79="",0,$I79)-1)&gt;0.0001,"Splits must total 100%",IF(COUNTIF('Plan setup'!$A$25:$A$34,$F79)=0,"Rep 1 not in Plan setup",IF(IF($H79="",FALSE,COUNTIF('Plan setup'!$A$25:$A$34,$H79)=0),"Rep 2 not in Plan setup",IF(COUNTIF('Plan setup'!$A$17:$A$21,$D79)=0,"Unknown deal type",IF($P79="Outside window","Clawback outside window: not reversed","OK"))))))</f>
        <v/>
      </c>
      <c r="S79">
        <f>AND(ISNUMBER($B79),OR($F79=Statement!$C$3,$H79=Statement!$C$3),OR(AND($B79&gt;=Statement!$C$6,$B79&lt;=Statement!$C$7),AND(ISNUMBER($Q79),$Q79&gt;=Statement!$C$6,$Q79&lt;=Statement!$C$7)))</f>
        <v/>
      </c>
      <c r="T79">
        <f>IF($S79,COUNTIF($S$2:$S79,TRUE),"")</f>
        <v/>
      </c>
      <c r="U79" s="17">
        <f>IF($F79=Statement!$C$3,$N79,0)+IF($H79=Statement!$C$3,$O79,0)</f>
        <v/>
      </c>
      <c r="V79" s="17">
        <f>IF(NOT($S79),0,IF(AND($B79&gt;=Statement!$C$6,$B79&lt;=Statement!$C$7),$U79,0)-IF(ISNUMBER($Q79),IF(AND($Q79&gt;=Statement!$C$6,$Q79&lt;=Statement!$C$7),$U79,0),0))</f>
        <v/>
      </c>
      <c r="W79" s="23">
        <f>IF($F79=Statement!$C$3,$G79,0)+IF($H79=Statement!$C$3,IF($I79="",0,$I79),0)</f>
        <v/>
      </c>
      <c r="X79">
        <f>IF(NOT($S79),"",IF(ISNUMBER($Q79),IF(AND($Q79&gt;=Statement!$C$6,$Q79&lt;=Statement!$C$7),"Clawback: credit reversed",""),"")&amp;IF(AND($B79&gt;=Statement!$C$6,$B79&lt;=Statement!$C$7,N($L79)&lt;1),"Partial credit: "&amp;TEXT($L79,"0%"),""))</f>
        <v/>
      </c>
    </row>
    <row r="80">
      <c r="A80" s="19" t="n"/>
      <c r="B80" s="20" t="n"/>
      <c r="C80" s="19" t="n"/>
      <c r="D80" s="19" t="n"/>
      <c r="E80" s="21" t="n"/>
      <c r="F80" s="19" t="n"/>
      <c r="G80" s="22" t="n"/>
      <c r="H80" s="19" t="n"/>
      <c r="I80" s="22" t="n"/>
      <c r="J80" s="20" t="n"/>
      <c r="K80" s="19" t="n"/>
      <c r="L80" s="23">
        <f>IF($E80="","",IFERROR(VLOOKUP($D80,'Plan setup'!$A$17:$B$21,2,FALSE),0))</f>
        <v/>
      </c>
      <c r="M80" s="17">
        <f>IF($E80="","",$E80*$L80)</f>
        <v/>
      </c>
      <c r="N80" s="17">
        <f>IF(OR($E80="",$F80=""),0,$M80*$G80)</f>
        <v/>
      </c>
      <c r="O80" s="17">
        <f>IF(OR($E80="",$H80=""),0,$M80*$I80)</f>
        <v/>
      </c>
      <c r="P80">
        <f>IF($J80="","",IF($J80-$B80&lt;='Plan setup'!$B$5,"Reversed","Outside window"))</f>
        <v/>
      </c>
      <c r="Q80" s="24">
        <f>IF($P80="Reversed",$J80,"")</f>
        <v/>
      </c>
      <c r="R80">
        <f>IF($E80="","",IF(ABS($G80+IF($I80="",0,$I80)-1)&gt;0.0001,"Splits must total 100%",IF(COUNTIF('Plan setup'!$A$25:$A$34,$F80)=0,"Rep 1 not in Plan setup",IF(IF($H80="",FALSE,COUNTIF('Plan setup'!$A$25:$A$34,$H80)=0),"Rep 2 not in Plan setup",IF(COUNTIF('Plan setup'!$A$17:$A$21,$D80)=0,"Unknown deal type",IF($P80="Outside window","Clawback outside window: not reversed","OK"))))))</f>
        <v/>
      </c>
      <c r="S80">
        <f>AND(ISNUMBER($B80),OR($F80=Statement!$C$3,$H80=Statement!$C$3),OR(AND($B80&gt;=Statement!$C$6,$B80&lt;=Statement!$C$7),AND(ISNUMBER($Q80),$Q80&gt;=Statement!$C$6,$Q80&lt;=Statement!$C$7)))</f>
        <v/>
      </c>
      <c r="T80">
        <f>IF($S80,COUNTIF($S$2:$S80,TRUE),"")</f>
        <v/>
      </c>
      <c r="U80" s="17">
        <f>IF($F80=Statement!$C$3,$N80,0)+IF($H80=Statement!$C$3,$O80,0)</f>
        <v/>
      </c>
      <c r="V80" s="17">
        <f>IF(NOT($S80),0,IF(AND($B80&gt;=Statement!$C$6,$B80&lt;=Statement!$C$7),$U80,0)-IF(ISNUMBER($Q80),IF(AND($Q80&gt;=Statement!$C$6,$Q80&lt;=Statement!$C$7),$U80,0),0))</f>
        <v/>
      </c>
      <c r="W80" s="23">
        <f>IF($F80=Statement!$C$3,$G80,0)+IF($H80=Statement!$C$3,IF($I80="",0,$I80),0)</f>
        <v/>
      </c>
      <c r="X80">
        <f>IF(NOT($S80),"",IF(ISNUMBER($Q80),IF(AND($Q80&gt;=Statement!$C$6,$Q80&lt;=Statement!$C$7),"Clawback: credit reversed",""),"")&amp;IF(AND($B80&gt;=Statement!$C$6,$B80&lt;=Statement!$C$7,N($L80)&lt;1),"Partial credit: "&amp;TEXT($L80,"0%"),""))</f>
        <v/>
      </c>
    </row>
    <row r="81">
      <c r="A81" s="19" t="n"/>
      <c r="B81" s="20" t="n"/>
      <c r="C81" s="19" t="n"/>
      <c r="D81" s="19" t="n"/>
      <c r="E81" s="21" t="n"/>
      <c r="F81" s="19" t="n"/>
      <c r="G81" s="22" t="n"/>
      <c r="H81" s="19" t="n"/>
      <c r="I81" s="22" t="n"/>
      <c r="J81" s="20" t="n"/>
      <c r="K81" s="19" t="n"/>
      <c r="L81" s="23">
        <f>IF($E81="","",IFERROR(VLOOKUP($D81,'Plan setup'!$A$17:$B$21,2,FALSE),0))</f>
        <v/>
      </c>
      <c r="M81" s="17">
        <f>IF($E81="","",$E81*$L81)</f>
        <v/>
      </c>
      <c r="N81" s="17">
        <f>IF(OR($E81="",$F81=""),0,$M81*$G81)</f>
        <v/>
      </c>
      <c r="O81" s="17">
        <f>IF(OR($E81="",$H81=""),0,$M81*$I81)</f>
        <v/>
      </c>
      <c r="P81">
        <f>IF($J81="","",IF($J81-$B81&lt;='Plan setup'!$B$5,"Reversed","Outside window"))</f>
        <v/>
      </c>
      <c r="Q81" s="24">
        <f>IF($P81="Reversed",$J81,"")</f>
        <v/>
      </c>
      <c r="R81">
        <f>IF($E81="","",IF(ABS($G81+IF($I81="",0,$I81)-1)&gt;0.0001,"Splits must total 100%",IF(COUNTIF('Plan setup'!$A$25:$A$34,$F81)=0,"Rep 1 not in Plan setup",IF(IF($H81="",FALSE,COUNTIF('Plan setup'!$A$25:$A$34,$H81)=0),"Rep 2 not in Plan setup",IF(COUNTIF('Plan setup'!$A$17:$A$21,$D81)=0,"Unknown deal type",IF($P81="Outside window","Clawback outside window: not reversed","OK"))))))</f>
        <v/>
      </c>
      <c r="S81">
        <f>AND(ISNUMBER($B81),OR($F81=Statement!$C$3,$H81=Statement!$C$3),OR(AND($B81&gt;=Statement!$C$6,$B81&lt;=Statement!$C$7),AND(ISNUMBER($Q81),$Q81&gt;=Statement!$C$6,$Q81&lt;=Statement!$C$7)))</f>
        <v/>
      </c>
      <c r="T81">
        <f>IF($S81,COUNTIF($S$2:$S81,TRUE),"")</f>
        <v/>
      </c>
      <c r="U81" s="17">
        <f>IF($F81=Statement!$C$3,$N81,0)+IF($H81=Statement!$C$3,$O81,0)</f>
        <v/>
      </c>
      <c r="V81" s="17">
        <f>IF(NOT($S81),0,IF(AND($B81&gt;=Statement!$C$6,$B81&lt;=Statement!$C$7),$U81,0)-IF(ISNUMBER($Q81),IF(AND($Q81&gt;=Statement!$C$6,$Q81&lt;=Statement!$C$7),$U81,0),0))</f>
        <v/>
      </c>
      <c r="W81" s="23">
        <f>IF($F81=Statement!$C$3,$G81,0)+IF($H81=Statement!$C$3,IF($I81="",0,$I81),0)</f>
        <v/>
      </c>
      <c r="X81">
        <f>IF(NOT($S81),"",IF(ISNUMBER($Q81),IF(AND($Q81&gt;=Statement!$C$6,$Q81&lt;=Statement!$C$7),"Clawback: credit reversed",""),"")&amp;IF(AND($B81&gt;=Statement!$C$6,$B81&lt;=Statement!$C$7,N($L81)&lt;1),"Partial credit: "&amp;TEXT($L81,"0%"),""))</f>
        <v/>
      </c>
    </row>
    <row r="82">
      <c r="A82" s="19" t="n"/>
      <c r="B82" s="20" t="n"/>
      <c r="C82" s="19" t="n"/>
      <c r="D82" s="19" t="n"/>
      <c r="E82" s="21" t="n"/>
      <c r="F82" s="19" t="n"/>
      <c r="G82" s="22" t="n"/>
      <c r="H82" s="19" t="n"/>
      <c r="I82" s="22" t="n"/>
      <c r="J82" s="20" t="n"/>
      <c r="K82" s="19" t="n"/>
      <c r="L82" s="23">
        <f>IF($E82="","",IFERROR(VLOOKUP($D82,'Plan setup'!$A$17:$B$21,2,FALSE),0))</f>
        <v/>
      </c>
      <c r="M82" s="17">
        <f>IF($E82="","",$E82*$L82)</f>
        <v/>
      </c>
      <c r="N82" s="17">
        <f>IF(OR($E82="",$F82=""),0,$M82*$G82)</f>
        <v/>
      </c>
      <c r="O82" s="17">
        <f>IF(OR($E82="",$H82=""),0,$M82*$I82)</f>
        <v/>
      </c>
      <c r="P82">
        <f>IF($J82="","",IF($J82-$B82&lt;='Plan setup'!$B$5,"Reversed","Outside window"))</f>
        <v/>
      </c>
      <c r="Q82" s="24">
        <f>IF($P82="Reversed",$J82,"")</f>
        <v/>
      </c>
      <c r="R82">
        <f>IF($E82="","",IF(ABS($G82+IF($I82="",0,$I82)-1)&gt;0.0001,"Splits must total 100%",IF(COUNTIF('Plan setup'!$A$25:$A$34,$F82)=0,"Rep 1 not in Plan setup",IF(IF($H82="",FALSE,COUNTIF('Plan setup'!$A$25:$A$34,$H82)=0),"Rep 2 not in Plan setup",IF(COUNTIF('Plan setup'!$A$17:$A$21,$D82)=0,"Unknown deal type",IF($P82="Outside window","Clawback outside window: not reversed","OK"))))))</f>
        <v/>
      </c>
      <c r="S82">
        <f>AND(ISNUMBER($B82),OR($F82=Statement!$C$3,$H82=Statement!$C$3),OR(AND($B82&gt;=Statement!$C$6,$B82&lt;=Statement!$C$7),AND(ISNUMBER($Q82),$Q82&gt;=Statement!$C$6,$Q82&lt;=Statement!$C$7)))</f>
        <v/>
      </c>
      <c r="T82">
        <f>IF($S82,COUNTIF($S$2:$S82,TRUE),"")</f>
        <v/>
      </c>
      <c r="U82" s="17">
        <f>IF($F82=Statement!$C$3,$N82,0)+IF($H82=Statement!$C$3,$O82,0)</f>
        <v/>
      </c>
      <c r="V82" s="17">
        <f>IF(NOT($S82),0,IF(AND($B82&gt;=Statement!$C$6,$B82&lt;=Statement!$C$7),$U82,0)-IF(ISNUMBER($Q82),IF(AND($Q82&gt;=Statement!$C$6,$Q82&lt;=Statement!$C$7),$U82,0),0))</f>
        <v/>
      </c>
      <c r="W82" s="23">
        <f>IF($F82=Statement!$C$3,$G82,0)+IF($H82=Statement!$C$3,IF($I82="",0,$I82),0)</f>
        <v/>
      </c>
      <c r="X82">
        <f>IF(NOT($S82),"",IF(ISNUMBER($Q82),IF(AND($Q82&gt;=Statement!$C$6,$Q82&lt;=Statement!$C$7),"Clawback: credit reversed",""),"")&amp;IF(AND($B82&gt;=Statement!$C$6,$B82&lt;=Statement!$C$7,N($L82)&lt;1),"Partial credit: "&amp;TEXT($L82,"0%"),""))</f>
        <v/>
      </c>
    </row>
    <row r="83">
      <c r="A83" s="19" t="n"/>
      <c r="B83" s="20" t="n"/>
      <c r="C83" s="19" t="n"/>
      <c r="D83" s="19" t="n"/>
      <c r="E83" s="21" t="n"/>
      <c r="F83" s="19" t="n"/>
      <c r="G83" s="22" t="n"/>
      <c r="H83" s="19" t="n"/>
      <c r="I83" s="22" t="n"/>
      <c r="J83" s="20" t="n"/>
      <c r="K83" s="19" t="n"/>
      <c r="L83" s="23">
        <f>IF($E83="","",IFERROR(VLOOKUP($D83,'Plan setup'!$A$17:$B$21,2,FALSE),0))</f>
        <v/>
      </c>
      <c r="M83" s="17">
        <f>IF($E83="","",$E83*$L83)</f>
        <v/>
      </c>
      <c r="N83" s="17">
        <f>IF(OR($E83="",$F83=""),0,$M83*$G83)</f>
        <v/>
      </c>
      <c r="O83" s="17">
        <f>IF(OR($E83="",$H83=""),0,$M83*$I83)</f>
        <v/>
      </c>
      <c r="P83">
        <f>IF($J83="","",IF($J83-$B83&lt;='Plan setup'!$B$5,"Reversed","Outside window"))</f>
        <v/>
      </c>
      <c r="Q83" s="24">
        <f>IF($P83="Reversed",$J83,"")</f>
        <v/>
      </c>
      <c r="R83">
        <f>IF($E83="","",IF(ABS($G83+IF($I83="",0,$I83)-1)&gt;0.0001,"Splits must total 100%",IF(COUNTIF('Plan setup'!$A$25:$A$34,$F83)=0,"Rep 1 not in Plan setup",IF(IF($H83="",FALSE,COUNTIF('Plan setup'!$A$25:$A$34,$H83)=0),"Rep 2 not in Plan setup",IF(COUNTIF('Plan setup'!$A$17:$A$21,$D83)=0,"Unknown deal type",IF($P83="Outside window","Clawback outside window: not reversed","OK"))))))</f>
        <v/>
      </c>
      <c r="S83">
        <f>AND(ISNUMBER($B83),OR($F83=Statement!$C$3,$H83=Statement!$C$3),OR(AND($B83&gt;=Statement!$C$6,$B83&lt;=Statement!$C$7),AND(ISNUMBER($Q83),$Q83&gt;=Statement!$C$6,$Q83&lt;=Statement!$C$7)))</f>
        <v/>
      </c>
      <c r="T83">
        <f>IF($S83,COUNTIF($S$2:$S83,TRUE),"")</f>
        <v/>
      </c>
      <c r="U83" s="17">
        <f>IF($F83=Statement!$C$3,$N83,0)+IF($H83=Statement!$C$3,$O83,0)</f>
        <v/>
      </c>
      <c r="V83" s="17">
        <f>IF(NOT($S83),0,IF(AND($B83&gt;=Statement!$C$6,$B83&lt;=Statement!$C$7),$U83,0)-IF(ISNUMBER($Q83),IF(AND($Q83&gt;=Statement!$C$6,$Q83&lt;=Statement!$C$7),$U83,0),0))</f>
        <v/>
      </c>
      <c r="W83" s="23">
        <f>IF($F83=Statement!$C$3,$G83,0)+IF($H83=Statement!$C$3,IF($I83="",0,$I83),0)</f>
        <v/>
      </c>
      <c r="X83">
        <f>IF(NOT($S83),"",IF(ISNUMBER($Q83),IF(AND($Q83&gt;=Statement!$C$6,$Q83&lt;=Statement!$C$7),"Clawback: credit reversed",""),"")&amp;IF(AND($B83&gt;=Statement!$C$6,$B83&lt;=Statement!$C$7,N($L83)&lt;1),"Partial credit: "&amp;TEXT($L83,"0%"),""))</f>
        <v/>
      </c>
    </row>
    <row r="84">
      <c r="A84" s="19" t="n"/>
      <c r="B84" s="20" t="n"/>
      <c r="C84" s="19" t="n"/>
      <c r="D84" s="19" t="n"/>
      <c r="E84" s="21" t="n"/>
      <c r="F84" s="19" t="n"/>
      <c r="G84" s="22" t="n"/>
      <c r="H84" s="19" t="n"/>
      <c r="I84" s="22" t="n"/>
      <c r="J84" s="20" t="n"/>
      <c r="K84" s="19" t="n"/>
      <c r="L84" s="23">
        <f>IF($E84="","",IFERROR(VLOOKUP($D84,'Plan setup'!$A$17:$B$21,2,FALSE),0))</f>
        <v/>
      </c>
      <c r="M84" s="17">
        <f>IF($E84="","",$E84*$L84)</f>
        <v/>
      </c>
      <c r="N84" s="17">
        <f>IF(OR($E84="",$F84=""),0,$M84*$G84)</f>
        <v/>
      </c>
      <c r="O84" s="17">
        <f>IF(OR($E84="",$H84=""),0,$M84*$I84)</f>
        <v/>
      </c>
      <c r="P84">
        <f>IF($J84="","",IF($J84-$B84&lt;='Plan setup'!$B$5,"Reversed","Outside window"))</f>
        <v/>
      </c>
      <c r="Q84" s="24">
        <f>IF($P84="Reversed",$J84,"")</f>
        <v/>
      </c>
      <c r="R84">
        <f>IF($E84="","",IF(ABS($G84+IF($I84="",0,$I84)-1)&gt;0.0001,"Splits must total 100%",IF(COUNTIF('Plan setup'!$A$25:$A$34,$F84)=0,"Rep 1 not in Plan setup",IF(IF($H84="",FALSE,COUNTIF('Plan setup'!$A$25:$A$34,$H84)=0),"Rep 2 not in Plan setup",IF(COUNTIF('Plan setup'!$A$17:$A$21,$D84)=0,"Unknown deal type",IF($P84="Outside window","Clawback outside window: not reversed","OK"))))))</f>
        <v/>
      </c>
      <c r="S84">
        <f>AND(ISNUMBER($B84),OR($F84=Statement!$C$3,$H84=Statement!$C$3),OR(AND($B84&gt;=Statement!$C$6,$B84&lt;=Statement!$C$7),AND(ISNUMBER($Q84),$Q84&gt;=Statement!$C$6,$Q84&lt;=Statement!$C$7)))</f>
        <v/>
      </c>
      <c r="T84">
        <f>IF($S84,COUNTIF($S$2:$S84,TRUE),"")</f>
        <v/>
      </c>
      <c r="U84" s="17">
        <f>IF($F84=Statement!$C$3,$N84,0)+IF($H84=Statement!$C$3,$O84,0)</f>
        <v/>
      </c>
      <c r="V84" s="17">
        <f>IF(NOT($S84),0,IF(AND($B84&gt;=Statement!$C$6,$B84&lt;=Statement!$C$7),$U84,0)-IF(ISNUMBER($Q84),IF(AND($Q84&gt;=Statement!$C$6,$Q84&lt;=Statement!$C$7),$U84,0),0))</f>
        <v/>
      </c>
      <c r="W84" s="23">
        <f>IF($F84=Statement!$C$3,$G84,0)+IF($H84=Statement!$C$3,IF($I84="",0,$I84),0)</f>
        <v/>
      </c>
      <c r="X84">
        <f>IF(NOT($S84),"",IF(ISNUMBER($Q84),IF(AND($Q84&gt;=Statement!$C$6,$Q84&lt;=Statement!$C$7),"Clawback: credit reversed",""),"")&amp;IF(AND($B84&gt;=Statement!$C$6,$B84&lt;=Statement!$C$7,N($L84)&lt;1),"Partial credit: "&amp;TEXT($L84,"0%"),""))</f>
        <v/>
      </c>
    </row>
    <row r="85">
      <c r="A85" s="19" t="n"/>
      <c r="B85" s="20" t="n"/>
      <c r="C85" s="19" t="n"/>
      <c r="D85" s="19" t="n"/>
      <c r="E85" s="21" t="n"/>
      <c r="F85" s="19" t="n"/>
      <c r="G85" s="22" t="n"/>
      <c r="H85" s="19" t="n"/>
      <c r="I85" s="22" t="n"/>
      <c r="J85" s="20" t="n"/>
      <c r="K85" s="19" t="n"/>
      <c r="L85" s="23">
        <f>IF($E85="","",IFERROR(VLOOKUP($D85,'Plan setup'!$A$17:$B$21,2,FALSE),0))</f>
        <v/>
      </c>
      <c r="M85" s="17">
        <f>IF($E85="","",$E85*$L85)</f>
        <v/>
      </c>
      <c r="N85" s="17">
        <f>IF(OR($E85="",$F85=""),0,$M85*$G85)</f>
        <v/>
      </c>
      <c r="O85" s="17">
        <f>IF(OR($E85="",$H85=""),0,$M85*$I85)</f>
        <v/>
      </c>
      <c r="P85">
        <f>IF($J85="","",IF($J85-$B85&lt;='Plan setup'!$B$5,"Reversed","Outside window"))</f>
        <v/>
      </c>
      <c r="Q85" s="24">
        <f>IF($P85="Reversed",$J85,"")</f>
        <v/>
      </c>
      <c r="R85">
        <f>IF($E85="","",IF(ABS($G85+IF($I85="",0,$I85)-1)&gt;0.0001,"Splits must total 100%",IF(COUNTIF('Plan setup'!$A$25:$A$34,$F85)=0,"Rep 1 not in Plan setup",IF(IF($H85="",FALSE,COUNTIF('Plan setup'!$A$25:$A$34,$H85)=0),"Rep 2 not in Plan setup",IF(COUNTIF('Plan setup'!$A$17:$A$21,$D85)=0,"Unknown deal type",IF($P85="Outside window","Clawback outside window: not reversed","OK"))))))</f>
        <v/>
      </c>
      <c r="S85">
        <f>AND(ISNUMBER($B85),OR($F85=Statement!$C$3,$H85=Statement!$C$3),OR(AND($B85&gt;=Statement!$C$6,$B85&lt;=Statement!$C$7),AND(ISNUMBER($Q85),$Q85&gt;=Statement!$C$6,$Q85&lt;=Statement!$C$7)))</f>
        <v/>
      </c>
      <c r="T85">
        <f>IF($S85,COUNTIF($S$2:$S85,TRUE),"")</f>
        <v/>
      </c>
      <c r="U85" s="17">
        <f>IF($F85=Statement!$C$3,$N85,0)+IF($H85=Statement!$C$3,$O85,0)</f>
        <v/>
      </c>
      <c r="V85" s="17">
        <f>IF(NOT($S85),0,IF(AND($B85&gt;=Statement!$C$6,$B85&lt;=Statement!$C$7),$U85,0)-IF(ISNUMBER($Q85),IF(AND($Q85&gt;=Statement!$C$6,$Q85&lt;=Statement!$C$7),$U85,0),0))</f>
        <v/>
      </c>
      <c r="W85" s="23">
        <f>IF($F85=Statement!$C$3,$G85,0)+IF($H85=Statement!$C$3,IF($I85="",0,$I85),0)</f>
        <v/>
      </c>
      <c r="X85">
        <f>IF(NOT($S85),"",IF(ISNUMBER($Q85),IF(AND($Q85&gt;=Statement!$C$6,$Q85&lt;=Statement!$C$7),"Clawback: credit reversed",""),"")&amp;IF(AND($B85&gt;=Statement!$C$6,$B85&lt;=Statement!$C$7,N($L85)&lt;1),"Partial credit: "&amp;TEXT($L85,"0%"),""))</f>
        <v/>
      </c>
    </row>
    <row r="86">
      <c r="A86" s="19" t="n"/>
      <c r="B86" s="20" t="n"/>
      <c r="C86" s="19" t="n"/>
      <c r="D86" s="19" t="n"/>
      <c r="E86" s="21" t="n"/>
      <c r="F86" s="19" t="n"/>
      <c r="G86" s="22" t="n"/>
      <c r="H86" s="19" t="n"/>
      <c r="I86" s="22" t="n"/>
      <c r="J86" s="20" t="n"/>
      <c r="K86" s="19" t="n"/>
      <c r="L86" s="23">
        <f>IF($E86="","",IFERROR(VLOOKUP($D86,'Plan setup'!$A$17:$B$21,2,FALSE),0))</f>
        <v/>
      </c>
      <c r="M86" s="17">
        <f>IF($E86="","",$E86*$L86)</f>
        <v/>
      </c>
      <c r="N86" s="17">
        <f>IF(OR($E86="",$F86=""),0,$M86*$G86)</f>
        <v/>
      </c>
      <c r="O86" s="17">
        <f>IF(OR($E86="",$H86=""),0,$M86*$I86)</f>
        <v/>
      </c>
      <c r="P86">
        <f>IF($J86="","",IF($J86-$B86&lt;='Plan setup'!$B$5,"Reversed","Outside window"))</f>
        <v/>
      </c>
      <c r="Q86" s="24">
        <f>IF($P86="Reversed",$J86,"")</f>
        <v/>
      </c>
      <c r="R86">
        <f>IF($E86="","",IF(ABS($G86+IF($I86="",0,$I86)-1)&gt;0.0001,"Splits must total 100%",IF(COUNTIF('Plan setup'!$A$25:$A$34,$F86)=0,"Rep 1 not in Plan setup",IF(IF($H86="",FALSE,COUNTIF('Plan setup'!$A$25:$A$34,$H86)=0),"Rep 2 not in Plan setup",IF(COUNTIF('Plan setup'!$A$17:$A$21,$D86)=0,"Unknown deal type",IF($P86="Outside window","Clawback outside window: not reversed","OK"))))))</f>
        <v/>
      </c>
      <c r="S86">
        <f>AND(ISNUMBER($B86),OR($F86=Statement!$C$3,$H86=Statement!$C$3),OR(AND($B86&gt;=Statement!$C$6,$B86&lt;=Statement!$C$7),AND(ISNUMBER($Q86),$Q86&gt;=Statement!$C$6,$Q86&lt;=Statement!$C$7)))</f>
        <v/>
      </c>
      <c r="T86">
        <f>IF($S86,COUNTIF($S$2:$S86,TRUE),"")</f>
        <v/>
      </c>
      <c r="U86" s="17">
        <f>IF($F86=Statement!$C$3,$N86,0)+IF($H86=Statement!$C$3,$O86,0)</f>
        <v/>
      </c>
      <c r="V86" s="17">
        <f>IF(NOT($S86),0,IF(AND($B86&gt;=Statement!$C$6,$B86&lt;=Statement!$C$7),$U86,0)-IF(ISNUMBER($Q86),IF(AND($Q86&gt;=Statement!$C$6,$Q86&lt;=Statement!$C$7),$U86,0),0))</f>
        <v/>
      </c>
      <c r="W86" s="23">
        <f>IF($F86=Statement!$C$3,$G86,0)+IF($H86=Statement!$C$3,IF($I86="",0,$I86),0)</f>
        <v/>
      </c>
      <c r="X86">
        <f>IF(NOT($S86),"",IF(ISNUMBER($Q86),IF(AND($Q86&gt;=Statement!$C$6,$Q86&lt;=Statement!$C$7),"Clawback: credit reversed",""),"")&amp;IF(AND($B86&gt;=Statement!$C$6,$B86&lt;=Statement!$C$7,N($L86)&lt;1),"Partial credit: "&amp;TEXT($L86,"0%"),""))</f>
        <v/>
      </c>
    </row>
    <row r="87">
      <c r="A87" s="19" t="n"/>
      <c r="B87" s="20" t="n"/>
      <c r="C87" s="19" t="n"/>
      <c r="D87" s="19" t="n"/>
      <c r="E87" s="21" t="n"/>
      <c r="F87" s="19" t="n"/>
      <c r="G87" s="22" t="n"/>
      <c r="H87" s="19" t="n"/>
      <c r="I87" s="22" t="n"/>
      <c r="J87" s="20" t="n"/>
      <c r="K87" s="19" t="n"/>
      <c r="L87" s="23">
        <f>IF($E87="","",IFERROR(VLOOKUP($D87,'Plan setup'!$A$17:$B$21,2,FALSE),0))</f>
        <v/>
      </c>
      <c r="M87" s="17">
        <f>IF($E87="","",$E87*$L87)</f>
        <v/>
      </c>
      <c r="N87" s="17">
        <f>IF(OR($E87="",$F87=""),0,$M87*$G87)</f>
        <v/>
      </c>
      <c r="O87" s="17">
        <f>IF(OR($E87="",$H87=""),0,$M87*$I87)</f>
        <v/>
      </c>
      <c r="P87">
        <f>IF($J87="","",IF($J87-$B87&lt;='Plan setup'!$B$5,"Reversed","Outside window"))</f>
        <v/>
      </c>
      <c r="Q87" s="24">
        <f>IF($P87="Reversed",$J87,"")</f>
        <v/>
      </c>
      <c r="R87">
        <f>IF($E87="","",IF(ABS($G87+IF($I87="",0,$I87)-1)&gt;0.0001,"Splits must total 100%",IF(COUNTIF('Plan setup'!$A$25:$A$34,$F87)=0,"Rep 1 not in Plan setup",IF(IF($H87="",FALSE,COUNTIF('Plan setup'!$A$25:$A$34,$H87)=0),"Rep 2 not in Plan setup",IF(COUNTIF('Plan setup'!$A$17:$A$21,$D87)=0,"Unknown deal type",IF($P87="Outside window","Clawback outside window: not reversed","OK"))))))</f>
        <v/>
      </c>
      <c r="S87">
        <f>AND(ISNUMBER($B87),OR($F87=Statement!$C$3,$H87=Statement!$C$3),OR(AND($B87&gt;=Statement!$C$6,$B87&lt;=Statement!$C$7),AND(ISNUMBER($Q87),$Q87&gt;=Statement!$C$6,$Q87&lt;=Statement!$C$7)))</f>
        <v/>
      </c>
      <c r="T87">
        <f>IF($S87,COUNTIF($S$2:$S87,TRUE),"")</f>
        <v/>
      </c>
      <c r="U87" s="17">
        <f>IF($F87=Statement!$C$3,$N87,0)+IF($H87=Statement!$C$3,$O87,0)</f>
        <v/>
      </c>
      <c r="V87" s="17">
        <f>IF(NOT($S87),0,IF(AND($B87&gt;=Statement!$C$6,$B87&lt;=Statement!$C$7),$U87,0)-IF(ISNUMBER($Q87),IF(AND($Q87&gt;=Statement!$C$6,$Q87&lt;=Statement!$C$7),$U87,0),0))</f>
        <v/>
      </c>
      <c r="W87" s="23">
        <f>IF($F87=Statement!$C$3,$G87,0)+IF($H87=Statement!$C$3,IF($I87="",0,$I87),0)</f>
        <v/>
      </c>
      <c r="X87">
        <f>IF(NOT($S87),"",IF(ISNUMBER($Q87),IF(AND($Q87&gt;=Statement!$C$6,$Q87&lt;=Statement!$C$7),"Clawback: credit reversed",""),"")&amp;IF(AND($B87&gt;=Statement!$C$6,$B87&lt;=Statement!$C$7,N($L87)&lt;1),"Partial credit: "&amp;TEXT($L87,"0%"),""))</f>
        <v/>
      </c>
    </row>
    <row r="88">
      <c r="A88" s="19" t="n"/>
      <c r="B88" s="20" t="n"/>
      <c r="C88" s="19" t="n"/>
      <c r="D88" s="19" t="n"/>
      <c r="E88" s="21" t="n"/>
      <c r="F88" s="19" t="n"/>
      <c r="G88" s="22" t="n"/>
      <c r="H88" s="19" t="n"/>
      <c r="I88" s="22" t="n"/>
      <c r="J88" s="20" t="n"/>
      <c r="K88" s="19" t="n"/>
      <c r="L88" s="23">
        <f>IF($E88="","",IFERROR(VLOOKUP($D88,'Plan setup'!$A$17:$B$21,2,FALSE),0))</f>
        <v/>
      </c>
      <c r="M88" s="17">
        <f>IF($E88="","",$E88*$L88)</f>
        <v/>
      </c>
      <c r="N88" s="17">
        <f>IF(OR($E88="",$F88=""),0,$M88*$G88)</f>
        <v/>
      </c>
      <c r="O88" s="17">
        <f>IF(OR($E88="",$H88=""),0,$M88*$I88)</f>
        <v/>
      </c>
      <c r="P88">
        <f>IF($J88="","",IF($J88-$B88&lt;='Plan setup'!$B$5,"Reversed","Outside window"))</f>
        <v/>
      </c>
      <c r="Q88" s="24">
        <f>IF($P88="Reversed",$J88,"")</f>
        <v/>
      </c>
      <c r="R88">
        <f>IF($E88="","",IF(ABS($G88+IF($I88="",0,$I88)-1)&gt;0.0001,"Splits must total 100%",IF(COUNTIF('Plan setup'!$A$25:$A$34,$F88)=0,"Rep 1 not in Plan setup",IF(IF($H88="",FALSE,COUNTIF('Plan setup'!$A$25:$A$34,$H88)=0),"Rep 2 not in Plan setup",IF(COUNTIF('Plan setup'!$A$17:$A$21,$D88)=0,"Unknown deal type",IF($P88="Outside window","Clawback outside window: not reversed","OK"))))))</f>
        <v/>
      </c>
      <c r="S88">
        <f>AND(ISNUMBER($B88),OR($F88=Statement!$C$3,$H88=Statement!$C$3),OR(AND($B88&gt;=Statement!$C$6,$B88&lt;=Statement!$C$7),AND(ISNUMBER($Q88),$Q88&gt;=Statement!$C$6,$Q88&lt;=Statement!$C$7)))</f>
        <v/>
      </c>
      <c r="T88">
        <f>IF($S88,COUNTIF($S$2:$S88,TRUE),"")</f>
        <v/>
      </c>
      <c r="U88" s="17">
        <f>IF($F88=Statement!$C$3,$N88,0)+IF($H88=Statement!$C$3,$O88,0)</f>
        <v/>
      </c>
      <c r="V88" s="17">
        <f>IF(NOT($S88),0,IF(AND($B88&gt;=Statement!$C$6,$B88&lt;=Statement!$C$7),$U88,0)-IF(ISNUMBER($Q88),IF(AND($Q88&gt;=Statement!$C$6,$Q88&lt;=Statement!$C$7),$U88,0),0))</f>
        <v/>
      </c>
      <c r="W88" s="23">
        <f>IF($F88=Statement!$C$3,$G88,0)+IF($H88=Statement!$C$3,IF($I88="",0,$I88),0)</f>
        <v/>
      </c>
      <c r="X88">
        <f>IF(NOT($S88),"",IF(ISNUMBER($Q88),IF(AND($Q88&gt;=Statement!$C$6,$Q88&lt;=Statement!$C$7),"Clawback: credit reversed",""),"")&amp;IF(AND($B88&gt;=Statement!$C$6,$B88&lt;=Statement!$C$7,N($L88)&lt;1),"Partial credit: "&amp;TEXT($L88,"0%"),""))</f>
        <v/>
      </c>
    </row>
    <row r="89">
      <c r="A89" s="19" t="n"/>
      <c r="B89" s="20" t="n"/>
      <c r="C89" s="19" t="n"/>
      <c r="D89" s="19" t="n"/>
      <c r="E89" s="21" t="n"/>
      <c r="F89" s="19" t="n"/>
      <c r="G89" s="22" t="n"/>
      <c r="H89" s="19" t="n"/>
      <c r="I89" s="22" t="n"/>
      <c r="J89" s="20" t="n"/>
      <c r="K89" s="19" t="n"/>
      <c r="L89" s="23">
        <f>IF($E89="","",IFERROR(VLOOKUP($D89,'Plan setup'!$A$17:$B$21,2,FALSE),0))</f>
        <v/>
      </c>
      <c r="M89" s="17">
        <f>IF($E89="","",$E89*$L89)</f>
        <v/>
      </c>
      <c r="N89" s="17">
        <f>IF(OR($E89="",$F89=""),0,$M89*$G89)</f>
        <v/>
      </c>
      <c r="O89" s="17">
        <f>IF(OR($E89="",$H89=""),0,$M89*$I89)</f>
        <v/>
      </c>
      <c r="P89">
        <f>IF($J89="","",IF($J89-$B89&lt;='Plan setup'!$B$5,"Reversed","Outside window"))</f>
        <v/>
      </c>
      <c r="Q89" s="24">
        <f>IF($P89="Reversed",$J89,"")</f>
        <v/>
      </c>
      <c r="R89">
        <f>IF($E89="","",IF(ABS($G89+IF($I89="",0,$I89)-1)&gt;0.0001,"Splits must total 100%",IF(COUNTIF('Plan setup'!$A$25:$A$34,$F89)=0,"Rep 1 not in Plan setup",IF(IF($H89="",FALSE,COUNTIF('Plan setup'!$A$25:$A$34,$H89)=0),"Rep 2 not in Plan setup",IF(COUNTIF('Plan setup'!$A$17:$A$21,$D89)=0,"Unknown deal type",IF($P89="Outside window","Clawback outside window: not reversed","OK"))))))</f>
        <v/>
      </c>
      <c r="S89">
        <f>AND(ISNUMBER($B89),OR($F89=Statement!$C$3,$H89=Statement!$C$3),OR(AND($B89&gt;=Statement!$C$6,$B89&lt;=Statement!$C$7),AND(ISNUMBER($Q89),$Q89&gt;=Statement!$C$6,$Q89&lt;=Statement!$C$7)))</f>
        <v/>
      </c>
      <c r="T89">
        <f>IF($S89,COUNTIF($S$2:$S89,TRUE),"")</f>
        <v/>
      </c>
      <c r="U89" s="17">
        <f>IF($F89=Statement!$C$3,$N89,0)+IF($H89=Statement!$C$3,$O89,0)</f>
        <v/>
      </c>
      <c r="V89" s="17">
        <f>IF(NOT($S89),0,IF(AND($B89&gt;=Statement!$C$6,$B89&lt;=Statement!$C$7),$U89,0)-IF(ISNUMBER($Q89),IF(AND($Q89&gt;=Statement!$C$6,$Q89&lt;=Statement!$C$7),$U89,0),0))</f>
        <v/>
      </c>
      <c r="W89" s="23">
        <f>IF($F89=Statement!$C$3,$G89,0)+IF($H89=Statement!$C$3,IF($I89="",0,$I89),0)</f>
        <v/>
      </c>
      <c r="X89">
        <f>IF(NOT($S89),"",IF(ISNUMBER($Q89),IF(AND($Q89&gt;=Statement!$C$6,$Q89&lt;=Statement!$C$7),"Clawback: credit reversed",""),"")&amp;IF(AND($B89&gt;=Statement!$C$6,$B89&lt;=Statement!$C$7,N($L89)&lt;1),"Partial credit: "&amp;TEXT($L89,"0%"),""))</f>
        <v/>
      </c>
    </row>
    <row r="90">
      <c r="A90" s="19" t="n"/>
      <c r="B90" s="20" t="n"/>
      <c r="C90" s="19" t="n"/>
      <c r="D90" s="19" t="n"/>
      <c r="E90" s="21" t="n"/>
      <c r="F90" s="19" t="n"/>
      <c r="G90" s="22" t="n"/>
      <c r="H90" s="19" t="n"/>
      <c r="I90" s="22" t="n"/>
      <c r="J90" s="20" t="n"/>
      <c r="K90" s="19" t="n"/>
      <c r="L90" s="23">
        <f>IF($E90="","",IFERROR(VLOOKUP($D90,'Plan setup'!$A$17:$B$21,2,FALSE),0))</f>
        <v/>
      </c>
      <c r="M90" s="17">
        <f>IF($E90="","",$E90*$L90)</f>
        <v/>
      </c>
      <c r="N90" s="17">
        <f>IF(OR($E90="",$F90=""),0,$M90*$G90)</f>
        <v/>
      </c>
      <c r="O90" s="17">
        <f>IF(OR($E90="",$H90=""),0,$M90*$I90)</f>
        <v/>
      </c>
      <c r="P90">
        <f>IF($J90="","",IF($J90-$B90&lt;='Plan setup'!$B$5,"Reversed","Outside window"))</f>
        <v/>
      </c>
      <c r="Q90" s="24">
        <f>IF($P90="Reversed",$J90,"")</f>
        <v/>
      </c>
      <c r="R90">
        <f>IF($E90="","",IF(ABS($G90+IF($I90="",0,$I90)-1)&gt;0.0001,"Splits must total 100%",IF(COUNTIF('Plan setup'!$A$25:$A$34,$F90)=0,"Rep 1 not in Plan setup",IF(IF($H90="",FALSE,COUNTIF('Plan setup'!$A$25:$A$34,$H90)=0),"Rep 2 not in Plan setup",IF(COUNTIF('Plan setup'!$A$17:$A$21,$D90)=0,"Unknown deal type",IF($P90="Outside window","Clawback outside window: not reversed","OK"))))))</f>
        <v/>
      </c>
      <c r="S90">
        <f>AND(ISNUMBER($B90),OR($F90=Statement!$C$3,$H90=Statement!$C$3),OR(AND($B90&gt;=Statement!$C$6,$B90&lt;=Statement!$C$7),AND(ISNUMBER($Q90),$Q90&gt;=Statement!$C$6,$Q90&lt;=Statement!$C$7)))</f>
        <v/>
      </c>
      <c r="T90">
        <f>IF($S90,COUNTIF($S$2:$S90,TRUE),"")</f>
        <v/>
      </c>
      <c r="U90" s="17">
        <f>IF($F90=Statement!$C$3,$N90,0)+IF($H90=Statement!$C$3,$O90,0)</f>
        <v/>
      </c>
      <c r="V90" s="17">
        <f>IF(NOT($S90),0,IF(AND($B90&gt;=Statement!$C$6,$B90&lt;=Statement!$C$7),$U90,0)-IF(ISNUMBER($Q90),IF(AND($Q90&gt;=Statement!$C$6,$Q90&lt;=Statement!$C$7),$U90,0),0))</f>
        <v/>
      </c>
      <c r="W90" s="23">
        <f>IF($F90=Statement!$C$3,$G90,0)+IF($H90=Statement!$C$3,IF($I90="",0,$I90),0)</f>
        <v/>
      </c>
      <c r="X90">
        <f>IF(NOT($S90),"",IF(ISNUMBER($Q90),IF(AND($Q90&gt;=Statement!$C$6,$Q90&lt;=Statement!$C$7),"Clawback: credit reversed",""),"")&amp;IF(AND($B90&gt;=Statement!$C$6,$B90&lt;=Statement!$C$7,N($L90)&lt;1),"Partial credit: "&amp;TEXT($L90,"0%"),""))</f>
        <v/>
      </c>
    </row>
    <row r="91">
      <c r="A91" s="19" t="n"/>
      <c r="B91" s="20" t="n"/>
      <c r="C91" s="19" t="n"/>
      <c r="D91" s="19" t="n"/>
      <c r="E91" s="21" t="n"/>
      <c r="F91" s="19" t="n"/>
      <c r="G91" s="22" t="n"/>
      <c r="H91" s="19" t="n"/>
      <c r="I91" s="22" t="n"/>
      <c r="J91" s="20" t="n"/>
      <c r="K91" s="19" t="n"/>
      <c r="L91" s="23">
        <f>IF($E91="","",IFERROR(VLOOKUP($D91,'Plan setup'!$A$17:$B$21,2,FALSE),0))</f>
        <v/>
      </c>
      <c r="M91" s="17">
        <f>IF($E91="","",$E91*$L91)</f>
        <v/>
      </c>
      <c r="N91" s="17">
        <f>IF(OR($E91="",$F91=""),0,$M91*$G91)</f>
        <v/>
      </c>
      <c r="O91" s="17">
        <f>IF(OR($E91="",$H91=""),0,$M91*$I91)</f>
        <v/>
      </c>
      <c r="P91">
        <f>IF($J91="","",IF($J91-$B91&lt;='Plan setup'!$B$5,"Reversed","Outside window"))</f>
        <v/>
      </c>
      <c r="Q91" s="24">
        <f>IF($P91="Reversed",$J91,"")</f>
        <v/>
      </c>
      <c r="R91">
        <f>IF($E91="","",IF(ABS($G91+IF($I91="",0,$I91)-1)&gt;0.0001,"Splits must total 100%",IF(COUNTIF('Plan setup'!$A$25:$A$34,$F91)=0,"Rep 1 not in Plan setup",IF(IF($H91="",FALSE,COUNTIF('Plan setup'!$A$25:$A$34,$H91)=0),"Rep 2 not in Plan setup",IF(COUNTIF('Plan setup'!$A$17:$A$21,$D91)=0,"Unknown deal type",IF($P91="Outside window","Clawback outside window: not reversed","OK"))))))</f>
        <v/>
      </c>
      <c r="S91">
        <f>AND(ISNUMBER($B91),OR($F91=Statement!$C$3,$H91=Statement!$C$3),OR(AND($B91&gt;=Statement!$C$6,$B91&lt;=Statement!$C$7),AND(ISNUMBER($Q91),$Q91&gt;=Statement!$C$6,$Q91&lt;=Statement!$C$7)))</f>
        <v/>
      </c>
      <c r="T91">
        <f>IF($S91,COUNTIF($S$2:$S91,TRUE),"")</f>
        <v/>
      </c>
      <c r="U91" s="17">
        <f>IF($F91=Statement!$C$3,$N91,0)+IF($H91=Statement!$C$3,$O91,0)</f>
        <v/>
      </c>
      <c r="V91" s="17">
        <f>IF(NOT($S91),0,IF(AND($B91&gt;=Statement!$C$6,$B91&lt;=Statement!$C$7),$U91,0)-IF(ISNUMBER($Q91),IF(AND($Q91&gt;=Statement!$C$6,$Q91&lt;=Statement!$C$7),$U91,0),0))</f>
        <v/>
      </c>
      <c r="W91" s="23">
        <f>IF($F91=Statement!$C$3,$G91,0)+IF($H91=Statement!$C$3,IF($I91="",0,$I91),0)</f>
        <v/>
      </c>
      <c r="X91">
        <f>IF(NOT($S91),"",IF(ISNUMBER($Q91),IF(AND($Q91&gt;=Statement!$C$6,$Q91&lt;=Statement!$C$7),"Clawback: credit reversed",""),"")&amp;IF(AND($B91&gt;=Statement!$C$6,$B91&lt;=Statement!$C$7,N($L91)&lt;1),"Partial credit: "&amp;TEXT($L91,"0%"),""))</f>
        <v/>
      </c>
    </row>
    <row r="92">
      <c r="A92" s="19" t="n"/>
      <c r="B92" s="20" t="n"/>
      <c r="C92" s="19" t="n"/>
      <c r="D92" s="19" t="n"/>
      <c r="E92" s="21" t="n"/>
      <c r="F92" s="19" t="n"/>
      <c r="G92" s="22" t="n"/>
      <c r="H92" s="19" t="n"/>
      <c r="I92" s="22" t="n"/>
      <c r="J92" s="20" t="n"/>
      <c r="K92" s="19" t="n"/>
      <c r="L92" s="23">
        <f>IF($E92="","",IFERROR(VLOOKUP($D92,'Plan setup'!$A$17:$B$21,2,FALSE),0))</f>
        <v/>
      </c>
      <c r="M92" s="17">
        <f>IF($E92="","",$E92*$L92)</f>
        <v/>
      </c>
      <c r="N92" s="17">
        <f>IF(OR($E92="",$F92=""),0,$M92*$G92)</f>
        <v/>
      </c>
      <c r="O92" s="17">
        <f>IF(OR($E92="",$H92=""),0,$M92*$I92)</f>
        <v/>
      </c>
      <c r="P92">
        <f>IF($J92="","",IF($J92-$B92&lt;='Plan setup'!$B$5,"Reversed","Outside window"))</f>
        <v/>
      </c>
      <c r="Q92" s="24">
        <f>IF($P92="Reversed",$J92,"")</f>
        <v/>
      </c>
      <c r="R92">
        <f>IF($E92="","",IF(ABS($G92+IF($I92="",0,$I92)-1)&gt;0.0001,"Splits must total 100%",IF(COUNTIF('Plan setup'!$A$25:$A$34,$F92)=0,"Rep 1 not in Plan setup",IF(IF($H92="",FALSE,COUNTIF('Plan setup'!$A$25:$A$34,$H92)=0),"Rep 2 not in Plan setup",IF(COUNTIF('Plan setup'!$A$17:$A$21,$D92)=0,"Unknown deal type",IF($P92="Outside window","Clawback outside window: not reversed","OK"))))))</f>
        <v/>
      </c>
      <c r="S92">
        <f>AND(ISNUMBER($B92),OR($F92=Statement!$C$3,$H92=Statement!$C$3),OR(AND($B92&gt;=Statement!$C$6,$B92&lt;=Statement!$C$7),AND(ISNUMBER($Q92),$Q92&gt;=Statement!$C$6,$Q92&lt;=Statement!$C$7)))</f>
        <v/>
      </c>
      <c r="T92">
        <f>IF($S92,COUNTIF($S$2:$S92,TRUE),"")</f>
        <v/>
      </c>
      <c r="U92" s="17">
        <f>IF($F92=Statement!$C$3,$N92,0)+IF($H92=Statement!$C$3,$O92,0)</f>
        <v/>
      </c>
      <c r="V92" s="17">
        <f>IF(NOT($S92),0,IF(AND($B92&gt;=Statement!$C$6,$B92&lt;=Statement!$C$7),$U92,0)-IF(ISNUMBER($Q92),IF(AND($Q92&gt;=Statement!$C$6,$Q92&lt;=Statement!$C$7),$U92,0),0))</f>
        <v/>
      </c>
      <c r="W92" s="23">
        <f>IF($F92=Statement!$C$3,$G92,0)+IF($H92=Statement!$C$3,IF($I92="",0,$I92),0)</f>
        <v/>
      </c>
      <c r="X92">
        <f>IF(NOT($S92),"",IF(ISNUMBER($Q92),IF(AND($Q92&gt;=Statement!$C$6,$Q92&lt;=Statement!$C$7),"Clawback: credit reversed",""),"")&amp;IF(AND($B92&gt;=Statement!$C$6,$B92&lt;=Statement!$C$7,N($L92)&lt;1),"Partial credit: "&amp;TEXT($L92,"0%"),""))</f>
        <v/>
      </c>
    </row>
    <row r="93">
      <c r="A93" s="19" t="n"/>
      <c r="B93" s="20" t="n"/>
      <c r="C93" s="19" t="n"/>
      <c r="D93" s="19" t="n"/>
      <c r="E93" s="21" t="n"/>
      <c r="F93" s="19" t="n"/>
      <c r="G93" s="22" t="n"/>
      <c r="H93" s="19" t="n"/>
      <c r="I93" s="22" t="n"/>
      <c r="J93" s="20" t="n"/>
      <c r="K93" s="19" t="n"/>
      <c r="L93" s="23">
        <f>IF($E93="","",IFERROR(VLOOKUP($D93,'Plan setup'!$A$17:$B$21,2,FALSE),0))</f>
        <v/>
      </c>
      <c r="M93" s="17">
        <f>IF($E93="","",$E93*$L93)</f>
        <v/>
      </c>
      <c r="N93" s="17">
        <f>IF(OR($E93="",$F93=""),0,$M93*$G93)</f>
        <v/>
      </c>
      <c r="O93" s="17">
        <f>IF(OR($E93="",$H93=""),0,$M93*$I93)</f>
        <v/>
      </c>
      <c r="P93">
        <f>IF($J93="","",IF($J93-$B93&lt;='Plan setup'!$B$5,"Reversed","Outside window"))</f>
        <v/>
      </c>
      <c r="Q93" s="24">
        <f>IF($P93="Reversed",$J93,"")</f>
        <v/>
      </c>
      <c r="R93">
        <f>IF($E93="","",IF(ABS($G93+IF($I93="",0,$I93)-1)&gt;0.0001,"Splits must total 100%",IF(COUNTIF('Plan setup'!$A$25:$A$34,$F93)=0,"Rep 1 not in Plan setup",IF(IF($H93="",FALSE,COUNTIF('Plan setup'!$A$25:$A$34,$H93)=0),"Rep 2 not in Plan setup",IF(COUNTIF('Plan setup'!$A$17:$A$21,$D93)=0,"Unknown deal type",IF($P93="Outside window","Clawback outside window: not reversed","OK"))))))</f>
        <v/>
      </c>
      <c r="S93">
        <f>AND(ISNUMBER($B93),OR($F93=Statement!$C$3,$H93=Statement!$C$3),OR(AND($B93&gt;=Statement!$C$6,$B93&lt;=Statement!$C$7),AND(ISNUMBER($Q93),$Q93&gt;=Statement!$C$6,$Q93&lt;=Statement!$C$7)))</f>
        <v/>
      </c>
      <c r="T93">
        <f>IF($S93,COUNTIF($S$2:$S93,TRUE),"")</f>
        <v/>
      </c>
      <c r="U93" s="17">
        <f>IF($F93=Statement!$C$3,$N93,0)+IF($H93=Statement!$C$3,$O93,0)</f>
        <v/>
      </c>
      <c r="V93" s="17">
        <f>IF(NOT($S93),0,IF(AND($B93&gt;=Statement!$C$6,$B93&lt;=Statement!$C$7),$U93,0)-IF(ISNUMBER($Q93),IF(AND($Q93&gt;=Statement!$C$6,$Q93&lt;=Statement!$C$7),$U93,0),0))</f>
        <v/>
      </c>
      <c r="W93" s="23">
        <f>IF($F93=Statement!$C$3,$G93,0)+IF($H93=Statement!$C$3,IF($I93="",0,$I93),0)</f>
        <v/>
      </c>
      <c r="X93">
        <f>IF(NOT($S93),"",IF(ISNUMBER($Q93),IF(AND($Q93&gt;=Statement!$C$6,$Q93&lt;=Statement!$C$7),"Clawback: credit reversed",""),"")&amp;IF(AND($B93&gt;=Statement!$C$6,$B93&lt;=Statement!$C$7,N($L93)&lt;1),"Partial credit: "&amp;TEXT($L93,"0%"),""))</f>
        <v/>
      </c>
    </row>
    <row r="94">
      <c r="A94" s="19" t="n"/>
      <c r="B94" s="20" t="n"/>
      <c r="C94" s="19" t="n"/>
      <c r="D94" s="19" t="n"/>
      <c r="E94" s="21" t="n"/>
      <c r="F94" s="19" t="n"/>
      <c r="G94" s="22" t="n"/>
      <c r="H94" s="19" t="n"/>
      <c r="I94" s="22" t="n"/>
      <c r="J94" s="20" t="n"/>
      <c r="K94" s="19" t="n"/>
      <c r="L94" s="23">
        <f>IF($E94="","",IFERROR(VLOOKUP($D94,'Plan setup'!$A$17:$B$21,2,FALSE),0))</f>
        <v/>
      </c>
      <c r="M94" s="17">
        <f>IF($E94="","",$E94*$L94)</f>
        <v/>
      </c>
      <c r="N94" s="17">
        <f>IF(OR($E94="",$F94=""),0,$M94*$G94)</f>
        <v/>
      </c>
      <c r="O94" s="17">
        <f>IF(OR($E94="",$H94=""),0,$M94*$I94)</f>
        <v/>
      </c>
      <c r="P94">
        <f>IF($J94="","",IF($J94-$B94&lt;='Plan setup'!$B$5,"Reversed","Outside window"))</f>
        <v/>
      </c>
      <c r="Q94" s="24">
        <f>IF($P94="Reversed",$J94,"")</f>
        <v/>
      </c>
      <c r="R94">
        <f>IF($E94="","",IF(ABS($G94+IF($I94="",0,$I94)-1)&gt;0.0001,"Splits must total 100%",IF(COUNTIF('Plan setup'!$A$25:$A$34,$F94)=0,"Rep 1 not in Plan setup",IF(IF($H94="",FALSE,COUNTIF('Plan setup'!$A$25:$A$34,$H94)=0),"Rep 2 not in Plan setup",IF(COUNTIF('Plan setup'!$A$17:$A$21,$D94)=0,"Unknown deal type",IF($P94="Outside window","Clawback outside window: not reversed","OK"))))))</f>
        <v/>
      </c>
      <c r="S94">
        <f>AND(ISNUMBER($B94),OR($F94=Statement!$C$3,$H94=Statement!$C$3),OR(AND($B94&gt;=Statement!$C$6,$B94&lt;=Statement!$C$7),AND(ISNUMBER($Q94),$Q94&gt;=Statement!$C$6,$Q94&lt;=Statement!$C$7)))</f>
        <v/>
      </c>
      <c r="T94">
        <f>IF($S94,COUNTIF($S$2:$S94,TRUE),"")</f>
        <v/>
      </c>
      <c r="U94" s="17">
        <f>IF($F94=Statement!$C$3,$N94,0)+IF($H94=Statement!$C$3,$O94,0)</f>
        <v/>
      </c>
      <c r="V94" s="17">
        <f>IF(NOT($S94),0,IF(AND($B94&gt;=Statement!$C$6,$B94&lt;=Statement!$C$7),$U94,0)-IF(ISNUMBER($Q94),IF(AND($Q94&gt;=Statement!$C$6,$Q94&lt;=Statement!$C$7),$U94,0),0))</f>
        <v/>
      </c>
      <c r="W94" s="23">
        <f>IF($F94=Statement!$C$3,$G94,0)+IF($H94=Statement!$C$3,IF($I94="",0,$I94),0)</f>
        <v/>
      </c>
      <c r="X94">
        <f>IF(NOT($S94),"",IF(ISNUMBER($Q94),IF(AND($Q94&gt;=Statement!$C$6,$Q94&lt;=Statement!$C$7),"Clawback: credit reversed",""),"")&amp;IF(AND($B94&gt;=Statement!$C$6,$B94&lt;=Statement!$C$7,N($L94)&lt;1),"Partial credit: "&amp;TEXT($L94,"0%"),""))</f>
        <v/>
      </c>
    </row>
    <row r="95">
      <c r="A95" s="19" t="n"/>
      <c r="B95" s="20" t="n"/>
      <c r="C95" s="19" t="n"/>
      <c r="D95" s="19" t="n"/>
      <c r="E95" s="21" t="n"/>
      <c r="F95" s="19" t="n"/>
      <c r="G95" s="22" t="n"/>
      <c r="H95" s="19" t="n"/>
      <c r="I95" s="22" t="n"/>
      <c r="J95" s="20" t="n"/>
      <c r="K95" s="19" t="n"/>
      <c r="L95" s="23">
        <f>IF($E95="","",IFERROR(VLOOKUP($D95,'Plan setup'!$A$17:$B$21,2,FALSE),0))</f>
        <v/>
      </c>
      <c r="M95" s="17">
        <f>IF($E95="","",$E95*$L95)</f>
        <v/>
      </c>
      <c r="N95" s="17">
        <f>IF(OR($E95="",$F95=""),0,$M95*$G95)</f>
        <v/>
      </c>
      <c r="O95" s="17">
        <f>IF(OR($E95="",$H95=""),0,$M95*$I95)</f>
        <v/>
      </c>
      <c r="P95">
        <f>IF($J95="","",IF($J95-$B95&lt;='Plan setup'!$B$5,"Reversed","Outside window"))</f>
        <v/>
      </c>
      <c r="Q95" s="24">
        <f>IF($P95="Reversed",$J95,"")</f>
        <v/>
      </c>
      <c r="R95">
        <f>IF($E95="","",IF(ABS($G95+IF($I95="",0,$I95)-1)&gt;0.0001,"Splits must total 100%",IF(COUNTIF('Plan setup'!$A$25:$A$34,$F95)=0,"Rep 1 not in Plan setup",IF(IF($H95="",FALSE,COUNTIF('Plan setup'!$A$25:$A$34,$H95)=0),"Rep 2 not in Plan setup",IF(COUNTIF('Plan setup'!$A$17:$A$21,$D95)=0,"Unknown deal type",IF($P95="Outside window","Clawback outside window: not reversed","OK"))))))</f>
        <v/>
      </c>
      <c r="S95">
        <f>AND(ISNUMBER($B95),OR($F95=Statement!$C$3,$H95=Statement!$C$3),OR(AND($B95&gt;=Statement!$C$6,$B95&lt;=Statement!$C$7),AND(ISNUMBER($Q95),$Q95&gt;=Statement!$C$6,$Q95&lt;=Statement!$C$7)))</f>
        <v/>
      </c>
      <c r="T95">
        <f>IF($S95,COUNTIF($S$2:$S95,TRUE),"")</f>
        <v/>
      </c>
      <c r="U95" s="17">
        <f>IF($F95=Statement!$C$3,$N95,0)+IF($H95=Statement!$C$3,$O95,0)</f>
        <v/>
      </c>
      <c r="V95" s="17">
        <f>IF(NOT($S95),0,IF(AND($B95&gt;=Statement!$C$6,$B95&lt;=Statement!$C$7),$U95,0)-IF(ISNUMBER($Q95),IF(AND($Q95&gt;=Statement!$C$6,$Q95&lt;=Statement!$C$7),$U95,0),0))</f>
        <v/>
      </c>
      <c r="W95" s="23">
        <f>IF($F95=Statement!$C$3,$G95,0)+IF($H95=Statement!$C$3,IF($I95="",0,$I95),0)</f>
        <v/>
      </c>
      <c r="X95">
        <f>IF(NOT($S95),"",IF(ISNUMBER($Q95),IF(AND($Q95&gt;=Statement!$C$6,$Q95&lt;=Statement!$C$7),"Clawback: credit reversed",""),"")&amp;IF(AND($B95&gt;=Statement!$C$6,$B95&lt;=Statement!$C$7,N($L95)&lt;1),"Partial credit: "&amp;TEXT($L95,"0%"),""))</f>
        <v/>
      </c>
    </row>
    <row r="96">
      <c r="A96" s="19" t="n"/>
      <c r="B96" s="20" t="n"/>
      <c r="C96" s="19" t="n"/>
      <c r="D96" s="19" t="n"/>
      <c r="E96" s="21" t="n"/>
      <c r="F96" s="19" t="n"/>
      <c r="G96" s="22" t="n"/>
      <c r="H96" s="19" t="n"/>
      <c r="I96" s="22" t="n"/>
      <c r="J96" s="20" t="n"/>
      <c r="K96" s="19" t="n"/>
      <c r="L96" s="23">
        <f>IF($E96="","",IFERROR(VLOOKUP($D96,'Plan setup'!$A$17:$B$21,2,FALSE),0))</f>
        <v/>
      </c>
      <c r="M96" s="17">
        <f>IF($E96="","",$E96*$L96)</f>
        <v/>
      </c>
      <c r="N96" s="17">
        <f>IF(OR($E96="",$F96=""),0,$M96*$G96)</f>
        <v/>
      </c>
      <c r="O96" s="17">
        <f>IF(OR($E96="",$H96=""),0,$M96*$I96)</f>
        <v/>
      </c>
      <c r="P96">
        <f>IF($J96="","",IF($J96-$B96&lt;='Plan setup'!$B$5,"Reversed","Outside window"))</f>
        <v/>
      </c>
      <c r="Q96" s="24">
        <f>IF($P96="Reversed",$J96,"")</f>
        <v/>
      </c>
      <c r="R96">
        <f>IF($E96="","",IF(ABS($G96+IF($I96="",0,$I96)-1)&gt;0.0001,"Splits must total 100%",IF(COUNTIF('Plan setup'!$A$25:$A$34,$F96)=0,"Rep 1 not in Plan setup",IF(IF($H96="",FALSE,COUNTIF('Plan setup'!$A$25:$A$34,$H96)=0),"Rep 2 not in Plan setup",IF(COUNTIF('Plan setup'!$A$17:$A$21,$D96)=0,"Unknown deal type",IF($P96="Outside window","Clawback outside window: not reversed","OK"))))))</f>
        <v/>
      </c>
      <c r="S96">
        <f>AND(ISNUMBER($B96),OR($F96=Statement!$C$3,$H96=Statement!$C$3),OR(AND($B96&gt;=Statement!$C$6,$B96&lt;=Statement!$C$7),AND(ISNUMBER($Q96),$Q96&gt;=Statement!$C$6,$Q96&lt;=Statement!$C$7)))</f>
        <v/>
      </c>
      <c r="T96">
        <f>IF($S96,COUNTIF($S$2:$S96,TRUE),"")</f>
        <v/>
      </c>
      <c r="U96" s="17">
        <f>IF($F96=Statement!$C$3,$N96,0)+IF($H96=Statement!$C$3,$O96,0)</f>
        <v/>
      </c>
      <c r="V96" s="17">
        <f>IF(NOT($S96),0,IF(AND($B96&gt;=Statement!$C$6,$B96&lt;=Statement!$C$7),$U96,0)-IF(ISNUMBER($Q96),IF(AND($Q96&gt;=Statement!$C$6,$Q96&lt;=Statement!$C$7),$U96,0),0))</f>
        <v/>
      </c>
      <c r="W96" s="23">
        <f>IF($F96=Statement!$C$3,$G96,0)+IF($H96=Statement!$C$3,IF($I96="",0,$I96),0)</f>
        <v/>
      </c>
      <c r="X96">
        <f>IF(NOT($S96),"",IF(ISNUMBER($Q96),IF(AND($Q96&gt;=Statement!$C$6,$Q96&lt;=Statement!$C$7),"Clawback: credit reversed",""),"")&amp;IF(AND($B96&gt;=Statement!$C$6,$B96&lt;=Statement!$C$7,N($L96)&lt;1),"Partial credit: "&amp;TEXT($L96,"0%"),""))</f>
        <v/>
      </c>
    </row>
    <row r="97">
      <c r="A97" s="19" t="n"/>
      <c r="B97" s="20" t="n"/>
      <c r="C97" s="19" t="n"/>
      <c r="D97" s="19" t="n"/>
      <c r="E97" s="21" t="n"/>
      <c r="F97" s="19" t="n"/>
      <c r="G97" s="22" t="n"/>
      <c r="H97" s="19" t="n"/>
      <c r="I97" s="22" t="n"/>
      <c r="J97" s="20" t="n"/>
      <c r="K97" s="19" t="n"/>
      <c r="L97" s="23">
        <f>IF($E97="","",IFERROR(VLOOKUP($D97,'Plan setup'!$A$17:$B$21,2,FALSE),0))</f>
        <v/>
      </c>
      <c r="M97" s="17">
        <f>IF($E97="","",$E97*$L97)</f>
        <v/>
      </c>
      <c r="N97" s="17">
        <f>IF(OR($E97="",$F97=""),0,$M97*$G97)</f>
        <v/>
      </c>
      <c r="O97" s="17">
        <f>IF(OR($E97="",$H97=""),0,$M97*$I97)</f>
        <v/>
      </c>
      <c r="P97">
        <f>IF($J97="","",IF($J97-$B97&lt;='Plan setup'!$B$5,"Reversed","Outside window"))</f>
        <v/>
      </c>
      <c r="Q97" s="24">
        <f>IF($P97="Reversed",$J97,"")</f>
        <v/>
      </c>
      <c r="R97">
        <f>IF($E97="","",IF(ABS($G97+IF($I97="",0,$I97)-1)&gt;0.0001,"Splits must total 100%",IF(COUNTIF('Plan setup'!$A$25:$A$34,$F97)=0,"Rep 1 not in Plan setup",IF(IF($H97="",FALSE,COUNTIF('Plan setup'!$A$25:$A$34,$H97)=0),"Rep 2 not in Plan setup",IF(COUNTIF('Plan setup'!$A$17:$A$21,$D97)=0,"Unknown deal type",IF($P97="Outside window","Clawback outside window: not reversed","OK"))))))</f>
        <v/>
      </c>
      <c r="S97">
        <f>AND(ISNUMBER($B97),OR($F97=Statement!$C$3,$H97=Statement!$C$3),OR(AND($B97&gt;=Statement!$C$6,$B97&lt;=Statement!$C$7),AND(ISNUMBER($Q97),$Q97&gt;=Statement!$C$6,$Q97&lt;=Statement!$C$7)))</f>
        <v/>
      </c>
      <c r="T97">
        <f>IF($S97,COUNTIF($S$2:$S97,TRUE),"")</f>
        <v/>
      </c>
      <c r="U97" s="17">
        <f>IF($F97=Statement!$C$3,$N97,0)+IF($H97=Statement!$C$3,$O97,0)</f>
        <v/>
      </c>
      <c r="V97" s="17">
        <f>IF(NOT($S97),0,IF(AND($B97&gt;=Statement!$C$6,$B97&lt;=Statement!$C$7),$U97,0)-IF(ISNUMBER($Q97),IF(AND($Q97&gt;=Statement!$C$6,$Q97&lt;=Statement!$C$7),$U97,0),0))</f>
        <v/>
      </c>
      <c r="W97" s="23">
        <f>IF($F97=Statement!$C$3,$G97,0)+IF($H97=Statement!$C$3,IF($I97="",0,$I97),0)</f>
        <v/>
      </c>
      <c r="X97">
        <f>IF(NOT($S97),"",IF(ISNUMBER($Q97),IF(AND($Q97&gt;=Statement!$C$6,$Q97&lt;=Statement!$C$7),"Clawback: credit reversed",""),"")&amp;IF(AND($B97&gt;=Statement!$C$6,$B97&lt;=Statement!$C$7,N($L97)&lt;1),"Partial credit: "&amp;TEXT($L97,"0%"),""))</f>
        <v/>
      </c>
    </row>
    <row r="98">
      <c r="A98" s="19" t="n"/>
      <c r="B98" s="20" t="n"/>
      <c r="C98" s="19" t="n"/>
      <c r="D98" s="19" t="n"/>
      <c r="E98" s="21" t="n"/>
      <c r="F98" s="19" t="n"/>
      <c r="G98" s="22" t="n"/>
      <c r="H98" s="19" t="n"/>
      <c r="I98" s="22" t="n"/>
      <c r="J98" s="20" t="n"/>
      <c r="K98" s="19" t="n"/>
      <c r="L98" s="23">
        <f>IF($E98="","",IFERROR(VLOOKUP($D98,'Plan setup'!$A$17:$B$21,2,FALSE),0))</f>
        <v/>
      </c>
      <c r="M98" s="17">
        <f>IF($E98="","",$E98*$L98)</f>
        <v/>
      </c>
      <c r="N98" s="17">
        <f>IF(OR($E98="",$F98=""),0,$M98*$G98)</f>
        <v/>
      </c>
      <c r="O98" s="17">
        <f>IF(OR($E98="",$H98=""),0,$M98*$I98)</f>
        <v/>
      </c>
      <c r="P98">
        <f>IF($J98="","",IF($J98-$B98&lt;='Plan setup'!$B$5,"Reversed","Outside window"))</f>
        <v/>
      </c>
      <c r="Q98" s="24">
        <f>IF($P98="Reversed",$J98,"")</f>
        <v/>
      </c>
      <c r="R98">
        <f>IF($E98="","",IF(ABS($G98+IF($I98="",0,$I98)-1)&gt;0.0001,"Splits must total 100%",IF(COUNTIF('Plan setup'!$A$25:$A$34,$F98)=0,"Rep 1 not in Plan setup",IF(IF($H98="",FALSE,COUNTIF('Plan setup'!$A$25:$A$34,$H98)=0),"Rep 2 not in Plan setup",IF(COUNTIF('Plan setup'!$A$17:$A$21,$D98)=0,"Unknown deal type",IF($P98="Outside window","Clawback outside window: not reversed","OK"))))))</f>
        <v/>
      </c>
      <c r="S98">
        <f>AND(ISNUMBER($B98),OR($F98=Statement!$C$3,$H98=Statement!$C$3),OR(AND($B98&gt;=Statement!$C$6,$B98&lt;=Statement!$C$7),AND(ISNUMBER($Q98),$Q98&gt;=Statement!$C$6,$Q98&lt;=Statement!$C$7)))</f>
        <v/>
      </c>
      <c r="T98">
        <f>IF($S98,COUNTIF($S$2:$S98,TRUE),"")</f>
        <v/>
      </c>
      <c r="U98" s="17">
        <f>IF($F98=Statement!$C$3,$N98,0)+IF($H98=Statement!$C$3,$O98,0)</f>
        <v/>
      </c>
      <c r="V98" s="17">
        <f>IF(NOT($S98),0,IF(AND($B98&gt;=Statement!$C$6,$B98&lt;=Statement!$C$7),$U98,0)-IF(ISNUMBER($Q98),IF(AND($Q98&gt;=Statement!$C$6,$Q98&lt;=Statement!$C$7),$U98,0),0))</f>
        <v/>
      </c>
      <c r="W98" s="23">
        <f>IF($F98=Statement!$C$3,$G98,0)+IF($H98=Statement!$C$3,IF($I98="",0,$I98),0)</f>
        <v/>
      </c>
      <c r="X98">
        <f>IF(NOT($S98),"",IF(ISNUMBER($Q98),IF(AND($Q98&gt;=Statement!$C$6,$Q98&lt;=Statement!$C$7),"Clawback: credit reversed",""),"")&amp;IF(AND($B98&gt;=Statement!$C$6,$B98&lt;=Statement!$C$7,N($L98)&lt;1),"Partial credit: "&amp;TEXT($L98,"0%"),""))</f>
        <v/>
      </c>
    </row>
    <row r="99">
      <c r="A99" s="19" t="n"/>
      <c r="B99" s="20" t="n"/>
      <c r="C99" s="19" t="n"/>
      <c r="D99" s="19" t="n"/>
      <c r="E99" s="21" t="n"/>
      <c r="F99" s="19" t="n"/>
      <c r="G99" s="22" t="n"/>
      <c r="H99" s="19" t="n"/>
      <c r="I99" s="22" t="n"/>
      <c r="J99" s="20" t="n"/>
      <c r="K99" s="19" t="n"/>
      <c r="L99" s="23">
        <f>IF($E99="","",IFERROR(VLOOKUP($D99,'Plan setup'!$A$17:$B$21,2,FALSE),0))</f>
        <v/>
      </c>
      <c r="M99" s="17">
        <f>IF($E99="","",$E99*$L99)</f>
        <v/>
      </c>
      <c r="N99" s="17">
        <f>IF(OR($E99="",$F99=""),0,$M99*$G99)</f>
        <v/>
      </c>
      <c r="O99" s="17">
        <f>IF(OR($E99="",$H99=""),0,$M99*$I99)</f>
        <v/>
      </c>
      <c r="P99">
        <f>IF($J99="","",IF($J99-$B99&lt;='Plan setup'!$B$5,"Reversed","Outside window"))</f>
        <v/>
      </c>
      <c r="Q99" s="24">
        <f>IF($P99="Reversed",$J99,"")</f>
        <v/>
      </c>
      <c r="R99">
        <f>IF($E99="","",IF(ABS($G99+IF($I99="",0,$I99)-1)&gt;0.0001,"Splits must total 100%",IF(COUNTIF('Plan setup'!$A$25:$A$34,$F99)=0,"Rep 1 not in Plan setup",IF(IF($H99="",FALSE,COUNTIF('Plan setup'!$A$25:$A$34,$H99)=0),"Rep 2 not in Plan setup",IF(COUNTIF('Plan setup'!$A$17:$A$21,$D99)=0,"Unknown deal type",IF($P99="Outside window","Clawback outside window: not reversed","OK"))))))</f>
        <v/>
      </c>
      <c r="S99">
        <f>AND(ISNUMBER($B99),OR($F99=Statement!$C$3,$H99=Statement!$C$3),OR(AND($B99&gt;=Statement!$C$6,$B99&lt;=Statement!$C$7),AND(ISNUMBER($Q99),$Q99&gt;=Statement!$C$6,$Q99&lt;=Statement!$C$7)))</f>
        <v/>
      </c>
      <c r="T99">
        <f>IF($S99,COUNTIF($S$2:$S99,TRUE),"")</f>
        <v/>
      </c>
      <c r="U99" s="17">
        <f>IF($F99=Statement!$C$3,$N99,0)+IF($H99=Statement!$C$3,$O99,0)</f>
        <v/>
      </c>
      <c r="V99" s="17">
        <f>IF(NOT($S99),0,IF(AND($B99&gt;=Statement!$C$6,$B99&lt;=Statement!$C$7),$U99,0)-IF(ISNUMBER($Q99),IF(AND($Q99&gt;=Statement!$C$6,$Q99&lt;=Statement!$C$7),$U99,0),0))</f>
        <v/>
      </c>
      <c r="W99" s="23">
        <f>IF($F99=Statement!$C$3,$G99,0)+IF($H99=Statement!$C$3,IF($I99="",0,$I99),0)</f>
        <v/>
      </c>
      <c r="X99">
        <f>IF(NOT($S99),"",IF(ISNUMBER($Q99),IF(AND($Q99&gt;=Statement!$C$6,$Q99&lt;=Statement!$C$7),"Clawback: credit reversed",""),"")&amp;IF(AND($B99&gt;=Statement!$C$6,$B99&lt;=Statement!$C$7,N($L99)&lt;1),"Partial credit: "&amp;TEXT($L99,"0%"),""))</f>
        <v/>
      </c>
    </row>
    <row r="100">
      <c r="A100" s="19" t="n"/>
      <c r="B100" s="20" t="n"/>
      <c r="C100" s="19" t="n"/>
      <c r="D100" s="19" t="n"/>
      <c r="E100" s="21" t="n"/>
      <c r="F100" s="19" t="n"/>
      <c r="G100" s="22" t="n"/>
      <c r="H100" s="19" t="n"/>
      <c r="I100" s="22" t="n"/>
      <c r="J100" s="20" t="n"/>
      <c r="K100" s="19" t="n"/>
      <c r="L100" s="23">
        <f>IF($E100="","",IFERROR(VLOOKUP($D100,'Plan setup'!$A$17:$B$21,2,FALSE),0))</f>
        <v/>
      </c>
      <c r="M100" s="17">
        <f>IF($E100="","",$E100*$L100)</f>
        <v/>
      </c>
      <c r="N100" s="17">
        <f>IF(OR($E100="",$F100=""),0,$M100*$G100)</f>
        <v/>
      </c>
      <c r="O100" s="17">
        <f>IF(OR($E100="",$H100=""),0,$M100*$I100)</f>
        <v/>
      </c>
      <c r="P100">
        <f>IF($J100="","",IF($J100-$B100&lt;='Plan setup'!$B$5,"Reversed","Outside window"))</f>
        <v/>
      </c>
      <c r="Q100" s="24">
        <f>IF($P100="Reversed",$J100,"")</f>
        <v/>
      </c>
      <c r="R100">
        <f>IF($E100="","",IF(ABS($G100+IF($I100="",0,$I100)-1)&gt;0.0001,"Splits must total 100%",IF(COUNTIF('Plan setup'!$A$25:$A$34,$F100)=0,"Rep 1 not in Plan setup",IF(IF($H100="",FALSE,COUNTIF('Plan setup'!$A$25:$A$34,$H100)=0),"Rep 2 not in Plan setup",IF(COUNTIF('Plan setup'!$A$17:$A$21,$D100)=0,"Unknown deal type",IF($P100="Outside window","Clawback outside window: not reversed","OK"))))))</f>
        <v/>
      </c>
      <c r="S100">
        <f>AND(ISNUMBER($B100),OR($F100=Statement!$C$3,$H100=Statement!$C$3),OR(AND($B100&gt;=Statement!$C$6,$B100&lt;=Statement!$C$7),AND(ISNUMBER($Q100),$Q100&gt;=Statement!$C$6,$Q100&lt;=Statement!$C$7)))</f>
        <v/>
      </c>
      <c r="T100">
        <f>IF($S100,COUNTIF($S$2:$S100,TRUE),"")</f>
        <v/>
      </c>
      <c r="U100" s="17">
        <f>IF($F100=Statement!$C$3,$N100,0)+IF($H100=Statement!$C$3,$O100,0)</f>
        <v/>
      </c>
      <c r="V100" s="17">
        <f>IF(NOT($S100),0,IF(AND($B100&gt;=Statement!$C$6,$B100&lt;=Statement!$C$7),$U100,0)-IF(ISNUMBER($Q100),IF(AND($Q100&gt;=Statement!$C$6,$Q100&lt;=Statement!$C$7),$U100,0),0))</f>
        <v/>
      </c>
      <c r="W100" s="23">
        <f>IF($F100=Statement!$C$3,$G100,0)+IF($H100=Statement!$C$3,IF($I100="",0,$I100),0)</f>
        <v/>
      </c>
      <c r="X100">
        <f>IF(NOT($S100),"",IF(ISNUMBER($Q100),IF(AND($Q100&gt;=Statement!$C$6,$Q100&lt;=Statement!$C$7),"Clawback: credit reversed",""),"")&amp;IF(AND($B100&gt;=Statement!$C$6,$B100&lt;=Statement!$C$7,N($L100)&lt;1),"Partial credit: "&amp;TEXT($L100,"0%"),""))</f>
        <v/>
      </c>
    </row>
    <row r="101">
      <c r="A101" s="19" t="n"/>
      <c r="B101" s="20" t="n"/>
      <c r="C101" s="19" t="n"/>
      <c r="D101" s="19" t="n"/>
      <c r="E101" s="21" t="n"/>
      <c r="F101" s="19" t="n"/>
      <c r="G101" s="22" t="n"/>
      <c r="H101" s="19" t="n"/>
      <c r="I101" s="22" t="n"/>
      <c r="J101" s="20" t="n"/>
      <c r="K101" s="19" t="n"/>
      <c r="L101" s="23">
        <f>IF($E101="","",IFERROR(VLOOKUP($D101,'Plan setup'!$A$17:$B$21,2,FALSE),0))</f>
        <v/>
      </c>
      <c r="M101" s="17">
        <f>IF($E101="","",$E101*$L101)</f>
        <v/>
      </c>
      <c r="N101" s="17">
        <f>IF(OR($E101="",$F101=""),0,$M101*$G101)</f>
        <v/>
      </c>
      <c r="O101" s="17">
        <f>IF(OR($E101="",$H101=""),0,$M101*$I101)</f>
        <v/>
      </c>
      <c r="P101">
        <f>IF($J101="","",IF($J101-$B101&lt;='Plan setup'!$B$5,"Reversed","Outside window"))</f>
        <v/>
      </c>
      <c r="Q101" s="24">
        <f>IF($P101="Reversed",$J101,"")</f>
        <v/>
      </c>
      <c r="R101">
        <f>IF($E101="","",IF(ABS($G101+IF($I101="",0,$I101)-1)&gt;0.0001,"Splits must total 100%",IF(COUNTIF('Plan setup'!$A$25:$A$34,$F101)=0,"Rep 1 not in Plan setup",IF(IF($H101="",FALSE,COUNTIF('Plan setup'!$A$25:$A$34,$H101)=0),"Rep 2 not in Plan setup",IF(COUNTIF('Plan setup'!$A$17:$A$21,$D101)=0,"Unknown deal type",IF($P101="Outside window","Clawback outside window: not reversed","OK"))))))</f>
        <v/>
      </c>
      <c r="S101">
        <f>AND(ISNUMBER($B101),OR($F101=Statement!$C$3,$H101=Statement!$C$3),OR(AND($B101&gt;=Statement!$C$6,$B101&lt;=Statement!$C$7),AND(ISNUMBER($Q101),$Q101&gt;=Statement!$C$6,$Q101&lt;=Statement!$C$7)))</f>
        <v/>
      </c>
      <c r="T101">
        <f>IF($S101,COUNTIF($S$2:$S101,TRUE),"")</f>
        <v/>
      </c>
      <c r="U101" s="17">
        <f>IF($F101=Statement!$C$3,$N101,0)+IF($H101=Statement!$C$3,$O101,0)</f>
        <v/>
      </c>
      <c r="V101" s="17">
        <f>IF(NOT($S101),0,IF(AND($B101&gt;=Statement!$C$6,$B101&lt;=Statement!$C$7),$U101,0)-IF(ISNUMBER($Q101),IF(AND($Q101&gt;=Statement!$C$6,$Q101&lt;=Statement!$C$7),$U101,0),0))</f>
        <v/>
      </c>
      <c r="W101" s="23">
        <f>IF($F101=Statement!$C$3,$G101,0)+IF($H101=Statement!$C$3,IF($I101="",0,$I101),0)</f>
        <v/>
      </c>
      <c r="X101">
        <f>IF(NOT($S101),"",IF(ISNUMBER($Q101),IF(AND($Q101&gt;=Statement!$C$6,$Q101&lt;=Statement!$C$7),"Clawback: credit reversed",""),"")&amp;IF(AND($B101&gt;=Statement!$C$6,$B101&lt;=Statement!$C$7,N($L101)&lt;1),"Partial credit: "&amp;TEXT($L101,"0%"),""))</f>
        <v/>
      </c>
    </row>
    <row r="102">
      <c r="A102" s="19" t="n"/>
      <c r="B102" s="20" t="n"/>
      <c r="C102" s="19" t="n"/>
      <c r="D102" s="19" t="n"/>
      <c r="E102" s="21" t="n"/>
      <c r="F102" s="19" t="n"/>
      <c r="G102" s="22" t="n"/>
      <c r="H102" s="19" t="n"/>
      <c r="I102" s="22" t="n"/>
      <c r="J102" s="20" t="n"/>
      <c r="K102" s="19" t="n"/>
      <c r="L102" s="23">
        <f>IF($E102="","",IFERROR(VLOOKUP($D102,'Plan setup'!$A$17:$B$21,2,FALSE),0))</f>
        <v/>
      </c>
      <c r="M102" s="17">
        <f>IF($E102="","",$E102*$L102)</f>
        <v/>
      </c>
      <c r="N102" s="17">
        <f>IF(OR($E102="",$F102=""),0,$M102*$G102)</f>
        <v/>
      </c>
      <c r="O102" s="17">
        <f>IF(OR($E102="",$H102=""),0,$M102*$I102)</f>
        <v/>
      </c>
      <c r="P102">
        <f>IF($J102="","",IF($J102-$B102&lt;='Plan setup'!$B$5,"Reversed","Outside window"))</f>
        <v/>
      </c>
      <c r="Q102" s="24">
        <f>IF($P102="Reversed",$J102,"")</f>
        <v/>
      </c>
      <c r="R102">
        <f>IF($E102="","",IF(ABS($G102+IF($I102="",0,$I102)-1)&gt;0.0001,"Splits must total 100%",IF(COUNTIF('Plan setup'!$A$25:$A$34,$F102)=0,"Rep 1 not in Plan setup",IF(IF($H102="",FALSE,COUNTIF('Plan setup'!$A$25:$A$34,$H102)=0),"Rep 2 not in Plan setup",IF(COUNTIF('Plan setup'!$A$17:$A$21,$D102)=0,"Unknown deal type",IF($P102="Outside window","Clawback outside window: not reversed","OK"))))))</f>
        <v/>
      </c>
      <c r="S102">
        <f>AND(ISNUMBER($B102),OR($F102=Statement!$C$3,$H102=Statement!$C$3),OR(AND($B102&gt;=Statement!$C$6,$B102&lt;=Statement!$C$7),AND(ISNUMBER($Q102),$Q102&gt;=Statement!$C$6,$Q102&lt;=Statement!$C$7)))</f>
        <v/>
      </c>
      <c r="T102">
        <f>IF($S102,COUNTIF($S$2:$S102,TRUE),"")</f>
        <v/>
      </c>
      <c r="U102" s="17">
        <f>IF($F102=Statement!$C$3,$N102,0)+IF($H102=Statement!$C$3,$O102,0)</f>
        <v/>
      </c>
      <c r="V102" s="17">
        <f>IF(NOT($S102),0,IF(AND($B102&gt;=Statement!$C$6,$B102&lt;=Statement!$C$7),$U102,0)-IF(ISNUMBER($Q102),IF(AND($Q102&gt;=Statement!$C$6,$Q102&lt;=Statement!$C$7),$U102,0),0))</f>
        <v/>
      </c>
      <c r="W102" s="23">
        <f>IF($F102=Statement!$C$3,$G102,0)+IF($H102=Statement!$C$3,IF($I102="",0,$I102),0)</f>
        <v/>
      </c>
      <c r="X102">
        <f>IF(NOT($S102),"",IF(ISNUMBER($Q102),IF(AND($Q102&gt;=Statement!$C$6,$Q102&lt;=Statement!$C$7),"Clawback: credit reversed",""),"")&amp;IF(AND($B102&gt;=Statement!$C$6,$B102&lt;=Statement!$C$7,N($L102)&lt;1),"Partial credit: "&amp;TEXT($L102,"0%"),""))</f>
        <v/>
      </c>
    </row>
    <row r="103">
      <c r="A103" s="19" t="n"/>
      <c r="B103" s="20" t="n"/>
      <c r="C103" s="19" t="n"/>
      <c r="D103" s="19" t="n"/>
      <c r="E103" s="21" t="n"/>
      <c r="F103" s="19" t="n"/>
      <c r="G103" s="22" t="n"/>
      <c r="H103" s="19" t="n"/>
      <c r="I103" s="22" t="n"/>
      <c r="J103" s="20" t="n"/>
      <c r="K103" s="19" t="n"/>
      <c r="L103" s="23">
        <f>IF($E103="","",IFERROR(VLOOKUP($D103,'Plan setup'!$A$17:$B$21,2,FALSE),0))</f>
        <v/>
      </c>
      <c r="M103" s="17">
        <f>IF($E103="","",$E103*$L103)</f>
        <v/>
      </c>
      <c r="N103" s="17">
        <f>IF(OR($E103="",$F103=""),0,$M103*$G103)</f>
        <v/>
      </c>
      <c r="O103" s="17">
        <f>IF(OR($E103="",$H103=""),0,$M103*$I103)</f>
        <v/>
      </c>
      <c r="P103">
        <f>IF($J103="","",IF($J103-$B103&lt;='Plan setup'!$B$5,"Reversed","Outside window"))</f>
        <v/>
      </c>
      <c r="Q103" s="24">
        <f>IF($P103="Reversed",$J103,"")</f>
        <v/>
      </c>
      <c r="R103">
        <f>IF($E103="","",IF(ABS($G103+IF($I103="",0,$I103)-1)&gt;0.0001,"Splits must total 100%",IF(COUNTIF('Plan setup'!$A$25:$A$34,$F103)=0,"Rep 1 not in Plan setup",IF(IF($H103="",FALSE,COUNTIF('Plan setup'!$A$25:$A$34,$H103)=0),"Rep 2 not in Plan setup",IF(COUNTIF('Plan setup'!$A$17:$A$21,$D103)=0,"Unknown deal type",IF($P103="Outside window","Clawback outside window: not reversed","OK"))))))</f>
        <v/>
      </c>
      <c r="S103">
        <f>AND(ISNUMBER($B103),OR($F103=Statement!$C$3,$H103=Statement!$C$3),OR(AND($B103&gt;=Statement!$C$6,$B103&lt;=Statement!$C$7),AND(ISNUMBER($Q103),$Q103&gt;=Statement!$C$6,$Q103&lt;=Statement!$C$7)))</f>
        <v/>
      </c>
      <c r="T103">
        <f>IF($S103,COUNTIF($S$2:$S103,TRUE),"")</f>
        <v/>
      </c>
      <c r="U103" s="17">
        <f>IF($F103=Statement!$C$3,$N103,0)+IF($H103=Statement!$C$3,$O103,0)</f>
        <v/>
      </c>
      <c r="V103" s="17">
        <f>IF(NOT($S103),0,IF(AND($B103&gt;=Statement!$C$6,$B103&lt;=Statement!$C$7),$U103,0)-IF(ISNUMBER($Q103),IF(AND($Q103&gt;=Statement!$C$6,$Q103&lt;=Statement!$C$7),$U103,0),0))</f>
        <v/>
      </c>
      <c r="W103" s="23">
        <f>IF($F103=Statement!$C$3,$G103,0)+IF($H103=Statement!$C$3,IF($I103="",0,$I103),0)</f>
        <v/>
      </c>
      <c r="X103">
        <f>IF(NOT($S103),"",IF(ISNUMBER($Q103),IF(AND($Q103&gt;=Statement!$C$6,$Q103&lt;=Statement!$C$7),"Clawback: credit reversed",""),"")&amp;IF(AND($B103&gt;=Statement!$C$6,$B103&lt;=Statement!$C$7,N($L103)&lt;1),"Partial credit: "&amp;TEXT($L103,"0%"),""))</f>
        <v/>
      </c>
    </row>
    <row r="104">
      <c r="A104" s="19" t="n"/>
      <c r="B104" s="20" t="n"/>
      <c r="C104" s="19" t="n"/>
      <c r="D104" s="19" t="n"/>
      <c r="E104" s="21" t="n"/>
      <c r="F104" s="19" t="n"/>
      <c r="G104" s="22" t="n"/>
      <c r="H104" s="19" t="n"/>
      <c r="I104" s="22" t="n"/>
      <c r="J104" s="20" t="n"/>
      <c r="K104" s="19" t="n"/>
      <c r="L104" s="23">
        <f>IF($E104="","",IFERROR(VLOOKUP($D104,'Plan setup'!$A$17:$B$21,2,FALSE),0))</f>
        <v/>
      </c>
      <c r="M104" s="17">
        <f>IF($E104="","",$E104*$L104)</f>
        <v/>
      </c>
      <c r="N104" s="17">
        <f>IF(OR($E104="",$F104=""),0,$M104*$G104)</f>
        <v/>
      </c>
      <c r="O104" s="17">
        <f>IF(OR($E104="",$H104=""),0,$M104*$I104)</f>
        <v/>
      </c>
      <c r="P104">
        <f>IF($J104="","",IF($J104-$B104&lt;='Plan setup'!$B$5,"Reversed","Outside window"))</f>
        <v/>
      </c>
      <c r="Q104" s="24">
        <f>IF($P104="Reversed",$J104,"")</f>
        <v/>
      </c>
      <c r="R104">
        <f>IF($E104="","",IF(ABS($G104+IF($I104="",0,$I104)-1)&gt;0.0001,"Splits must total 100%",IF(COUNTIF('Plan setup'!$A$25:$A$34,$F104)=0,"Rep 1 not in Plan setup",IF(IF($H104="",FALSE,COUNTIF('Plan setup'!$A$25:$A$34,$H104)=0),"Rep 2 not in Plan setup",IF(COUNTIF('Plan setup'!$A$17:$A$21,$D104)=0,"Unknown deal type",IF($P104="Outside window","Clawback outside window: not reversed","OK"))))))</f>
        <v/>
      </c>
      <c r="S104">
        <f>AND(ISNUMBER($B104),OR($F104=Statement!$C$3,$H104=Statement!$C$3),OR(AND($B104&gt;=Statement!$C$6,$B104&lt;=Statement!$C$7),AND(ISNUMBER($Q104),$Q104&gt;=Statement!$C$6,$Q104&lt;=Statement!$C$7)))</f>
        <v/>
      </c>
      <c r="T104">
        <f>IF($S104,COUNTIF($S$2:$S104,TRUE),"")</f>
        <v/>
      </c>
      <c r="U104" s="17">
        <f>IF($F104=Statement!$C$3,$N104,0)+IF($H104=Statement!$C$3,$O104,0)</f>
        <v/>
      </c>
      <c r="V104" s="17">
        <f>IF(NOT($S104),0,IF(AND($B104&gt;=Statement!$C$6,$B104&lt;=Statement!$C$7),$U104,0)-IF(ISNUMBER($Q104),IF(AND($Q104&gt;=Statement!$C$6,$Q104&lt;=Statement!$C$7),$U104,0),0))</f>
        <v/>
      </c>
      <c r="W104" s="23">
        <f>IF($F104=Statement!$C$3,$G104,0)+IF($H104=Statement!$C$3,IF($I104="",0,$I104),0)</f>
        <v/>
      </c>
      <c r="X104">
        <f>IF(NOT($S104),"",IF(ISNUMBER($Q104),IF(AND($Q104&gt;=Statement!$C$6,$Q104&lt;=Statement!$C$7),"Clawback: credit reversed",""),"")&amp;IF(AND($B104&gt;=Statement!$C$6,$B104&lt;=Statement!$C$7,N($L104)&lt;1),"Partial credit: "&amp;TEXT($L104,"0%"),""))</f>
        <v/>
      </c>
    </row>
    <row r="105">
      <c r="A105" s="19" t="n"/>
      <c r="B105" s="20" t="n"/>
      <c r="C105" s="19" t="n"/>
      <c r="D105" s="19" t="n"/>
      <c r="E105" s="21" t="n"/>
      <c r="F105" s="19" t="n"/>
      <c r="G105" s="22" t="n"/>
      <c r="H105" s="19" t="n"/>
      <c r="I105" s="22" t="n"/>
      <c r="J105" s="20" t="n"/>
      <c r="K105" s="19" t="n"/>
      <c r="L105" s="23">
        <f>IF($E105="","",IFERROR(VLOOKUP($D105,'Plan setup'!$A$17:$B$21,2,FALSE),0))</f>
        <v/>
      </c>
      <c r="M105" s="17">
        <f>IF($E105="","",$E105*$L105)</f>
        <v/>
      </c>
      <c r="N105" s="17">
        <f>IF(OR($E105="",$F105=""),0,$M105*$G105)</f>
        <v/>
      </c>
      <c r="O105" s="17">
        <f>IF(OR($E105="",$H105=""),0,$M105*$I105)</f>
        <v/>
      </c>
      <c r="P105">
        <f>IF($J105="","",IF($J105-$B105&lt;='Plan setup'!$B$5,"Reversed","Outside window"))</f>
        <v/>
      </c>
      <c r="Q105" s="24">
        <f>IF($P105="Reversed",$J105,"")</f>
        <v/>
      </c>
      <c r="R105">
        <f>IF($E105="","",IF(ABS($G105+IF($I105="",0,$I105)-1)&gt;0.0001,"Splits must total 100%",IF(COUNTIF('Plan setup'!$A$25:$A$34,$F105)=0,"Rep 1 not in Plan setup",IF(IF($H105="",FALSE,COUNTIF('Plan setup'!$A$25:$A$34,$H105)=0),"Rep 2 not in Plan setup",IF(COUNTIF('Plan setup'!$A$17:$A$21,$D105)=0,"Unknown deal type",IF($P105="Outside window","Clawback outside window: not reversed","OK"))))))</f>
        <v/>
      </c>
      <c r="S105">
        <f>AND(ISNUMBER($B105),OR($F105=Statement!$C$3,$H105=Statement!$C$3),OR(AND($B105&gt;=Statement!$C$6,$B105&lt;=Statement!$C$7),AND(ISNUMBER($Q105),$Q105&gt;=Statement!$C$6,$Q105&lt;=Statement!$C$7)))</f>
        <v/>
      </c>
      <c r="T105">
        <f>IF($S105,COUNTIF($S$2:$S105,TRUE),"")</f>
        <v/>
      </c>
      <c r="U105" s="17">
        <f>IF($F105=Statement!$C$3,$N105,0)+IF($H105=Statement!$C$3,$O105,0)</f>
        <v/>
      </c>
      <c r="V105" s="17">
        <f>IF(NOT($S105),0,IF(AND($B105&gt;=Statement!$C$6,$B105&lt;=Statement!$C$7),$U105,0)-IF(ISNUMBER($Q105),IF(AND($Q105&gt;=Statement!$C$6,$Q105&lt;=Statement!$C$7),$U105,0),0))</f>
        <v/>
      </c>
      <c r="W105" s="23">
        <f>IF($F105=Statement!$C$3,$G105,0)+IF($H105=Statement!$C$3,IF($I105="",0,$I105),0)</f>
        <v/>
      </c>
      <c r="X105">
        <f>IF(NOT($S105),"",IF(ISNUMBER($Q105),IF(AND($Q105&gt;=Statement!$C$6,$Q105&lt;=Statement!$C$7),"Clawback: credit reversed",""),"")&amp;IF(AND($B105&gt;=Statement!$C$6,$B105&lt;=Statement!$C$7,N($L105)&lt;1),"Partial credit: "&amp;TEXT($L105,"0%"),""))</f>
        <v/>
      </c>
    </row>
    <row r="106">
      <c r="A106" s="19" t="n"/>
      <c r="B106" s="20" t="n"/>
      <c r="C106" s="19" t="n"/>
      <c r="D106" s="19" t="n"/>
      <c r="E106" s="21" t="n"/>
      <c r="F106" s="19" t="n"/>
      <c r="G106" s="22" t="n"/>
      <c r="H106" s="19" t="n"/>
      <c r="I106" s="22" t="n"/>
      <c r="J106" s="20" t="n"/>
      <c r="K106" s="19" t="n"/>
      <c r="L106" s="23">
        <f>IF($E106="","",IFERROR(VLOOKUP($D106,'Plan setup'!$A$17:$B$21,2,FALSE),0))</f>
        <v/>
      </c>
      <c r="M106" s="17">
        <f>IF($E106="","",$E106*$L106)</f>
        <v/>
      </c>
      <c r="N106" s="17">
        <f>IF(OR($E106="",$F106=""),0,$M106*$G106)</f>
        <v/>
      </c>
      <c r="O106" s="17">
        <f>IF(OR($E106="",$H106=""),0,$M106*$I106)</f>
        <v/>
      </c>
      <c r="P106">
        <f>IF($J106="","",IF($J106-$B106&lt;='Plan setup'!$B$5,"Reversed","Outside window"))</f>
        <v/>
      </c>
      <c r="Q106" s="24">
        <f>IF($P106="Reversed",$J106,"")</f>
        <v/>
      </c>
      <c r="R106">
        <f>IF($E106="","",IF(ABS($G106+IF($I106="",0,$I106)-1)&gt;0.0001,"Splits must total 100%",IF(COUNTIF('Plan setup'!$A$25:$A$34,$F106)=0,"Rep 1 not in Plan setup",IF(IF($H106="",FALSE,COUNTIF('Plan setup'!$A$25:$A$34,$H106)=0),"Rep 2 not in Plan setup",IF(COUNTIF('Plan setup'!$A$17:$A$21,$D106)=0,"Unknown deal type",IF($P106="Outside window","Clawback outside window: not reversed","OK"))))))</f>
        <v/>
      </c>
      <c r="S106">
        <f>AND(ISNUMBER($B106),OR($F106=Statement!$C$3,$H106=Statement!$C$3),OR(AND($B106&gt;=Statement!$C$6,$B106&lt;=Statement!$C$7),AND(ISNUMBER($Q106),$Q106&gt;=Statement!$C$6,$Q106&lt;=Statement!$C$7)))</f>
        <v/>
      </c>
      <c r="T106">
        <f>IF($S106,COUNTIF($S$2:$S106,TRUE),"")</f>
        <v/>
      </c>
      <c r="U106" s="17">
        <f>IF($F106=Statement!$C$3,$N106,0)+IF($H106=Statement!$C$3,$O106,0)</f>
        <v/>
      </c>
      <c r="V106" s="17">
        <f>IF(NOT($S106),0,IF(AND($B106&gt;=Statement!$C$6,$B106&lt;=Statement!$C$7),$U106,0)-IF(ISNUMBER($Q106),IF(AND($Q106&gt;=Statement!$C$6,$Q106&lt;=Statement!$C$7),$U106,0),0))</f>
        <v/>
      </c>
      <c r="W106" s="23">
        <f>IF($F106=Statement!$C$3,$G106,0)+IF($H106=Statement!$C$3,IF($I106="",0,$I106),0)</f>
        <v/>
      </c>
      <c r="X106">
        <f>IF(NOT($S106),"",IF(ISNUMBER($Q106),IF(AND($Q106&gt;=Statement!$C$6,$Q106&lt;=Statement!$C$7),"Clawback: credit reversed",""),"")&amp;IF(AND($B106&gt;=Statement!$C$6,$B106&lt;=Statement!$C$7,N($L106)&lt;1),"Partial credit: "&amp;TEXT($L106,"0%"),""))</f>
        <v/>
      </c>
    </row>
    <row r="107">
      <c r="A107" s="19" t="n"/>
      <c r="B107" s="20" t="n"/>
      <c r="C107" s="19" t="n"/>
      <c r="D107" s="19" t="n"/>
      <c r="E107" s="21" t="n"/>
      <c r="F107" s="19" t="n"/>
      <c r="G107" s="22" t="n"/>
      <c r="H107" s="19" t="n"/>
      <c r="I107" s="22" t="n"/>
      <c r="J107" s="20" t="n"/>
      <c r="K107" s="19" t="n"/>
      <c r="L107" s="23">
        <f>IF($E107="","",IFERROR(VLOOKUP($D107,'Plan setup'!$A$17:$B$21,2,FALSE),0))</f>
        <v/>
      </c>
      <c r="M107" s="17">
        <f>IF($E107="","",$E107*$L107)</f>
        <v/>
      </c>
      <c r="N107" s="17">
        <f>IF(OR($E107="",$F107=""),0,$M107*$G107)</f>
        <v/>
      </c>
      <c r="O107" s="17">
        <f>IF(OR($E107="",$H107=""),0,$M107*$I107)</f>
        <v/>
      </c>
      <c r="P107">
        <f>IF($J107="","",IF($J107-$B107&lt;='Plan setup'!$B$5,"Reversed","Outside window"))</f>
        <v/>
      </c>
      <c r="Q107" s="24">
        <f>IF($P107="Reversed",$J107,"")</f>
        <v/>
      </c>
      <c r="R107">
        <f>IF($E107="","",IF(ABS($G107+IF($I107="",0,$I107)-1)&gt;0.0001,"Splits must total 100%",IF(COUNTIF('Plan setup'!$A$25:$A$34,$F107)=0,"Rep 1 not in Plan setup",IF(IF($H107="",FALSE,COUNTIF('Plan setup'!$A$25:$A$34,$H107)=0),"Rep 2 not in Plan setup",IF(COUNTIF('Plan setup'!$A$17:$A$21,$D107)=0,"Unknown deal type",IF($P107="Outside window","Clawback outside window: not reversed","OK"))))))</f>
        <v/>
      </c>
      <c r="S107">
        <f>AND(ISNUMBER($B107),OR($F107=Statement!$C$3,$H107=Statement!$C$3),OR(AND($B107&gt;=Statement!$C$6,$B107&lt;=Statement!$C$7),AND(ISNUMBER($Q107),$Q107&gt;=Statement!$C$6,$Q107&lt;=Statement!$C$7)))</f>
        <v/>
      </c>
      <c r="T107">
        <f>IF($S107,COUNTIF($S$2:$S107,TRUE),"")</f>
        <v/>
      </c>
      <c r="U107" s="17">
        <f>IF($F107=Statement!$C$3,$N107,0)+IF($H107=Statement!$C$3,$O107,0)</f>
        <v/>
      </c>
      <c r="V107" s="17">
        <f>IF(NOT($S107),0,IF(AND($B107&gt;=Statement!$C$6,$B107&lt;=Statement!$C$7),$U107,0)-IF(ISNUMBER($Q107),IF(AND($Q107&gt;=Statement!$C$6,$Q107&lt;=Statement!$C$7),$U107,0),0))</f>
        <v/>
      </c>
      <c r="W107" s="23">
        <f>IF($F107=Statement!$C$3,$G107,0)+IF($H107=Statement!$C$3,IF($I107="",0,$I107),0)</f>
        <v/>
      </c>
      <c r="X107">
        <f>IF(NOT($S107),"",IF(ISNUMBER($Q107),IF(AND($Q107&gt;=Statement!$C$6,$Q107&lt;=Statement!$C$7),"Clawback: credit reversed",""),"")&amp;IF(AND($B107&gt;=Statement!$C$6,$B107&lt;=Statement!$C$7,N($L107)&lt;1),"Partial credit: "&amp;TEXT($L107,"0%"),""))</f>
        <v/>
      </c>
    </row>
    <row r="108">
      <c r="A108" s="19" t="n"/>
      <c r="B108" s="20" t="n"/>
      <c r="C108" s="19" t="n"/>
      <c r="D108" s="19" t="n"/>
      <c r="E108" s="21" t="n"/>
      <c r="F108" s="19" t="n"/>
      <c r="G108" s="22" t="n"/>
      <c r="H108" s="19" t="n"/>
      <c r="I108" s="22" t="n"/>
      <c r="J108" s="20" t="n"/>
      <c r="K108" s="19" t="n"/>
      <c r="L108" s="23">
        <f>IF($E108="","",IFERROR(VLOOKUP($D108,'Plan setup'!$A$17:$B$21,2,FALSE),0))</f>
        <v/>
      </c>
      <c r="M108" s="17">
        <f>IF($E108="","",$E108*$L108)</f>
        <v/>
      </c>
      <c r="N108" s="17">
        <f>IF(OR($E108="",$F108=""),0,$M108*$G108)</f>
        <v/>
      </c>
      <c r="O108" s="17">
        <f>IF(OR($E108="",$H108=""),0,$M108*$I108)</f>
        <v/>
      </c>
      <c r="P108">
        <f>IF($J108="","",IF($J108-$B108&lt;='Plan setup'!$B$5,"Reversed","Outside window"))</f>
        <v/>
      </c>
      <c r="Q108" s="24">
        <f>IF($P108="Reversed",$J108,"")</f>
        <v/>
      </c>
      <c r="R108">
        <f>IF($E108="","",IF(ABS($G108+IF($I108="",0,$I108)-1)&gt;0.0001,"Splits must total 100%",IF(COUNTIF('Plan setup'!$A$25:$A$34,$F108)=0,"Rep 1 not in Plan setup",IF(IF($H108="",FALSE,COUNTIF('Plan setup'!$A$25:$A$34,$H108)=0),"Rep 2 not in Plan setup",IF(COUNTIF('Plan setup'!$A$17:$A$21,$D108)=0,"Unknown deal type",IF($P108="Outside window","Clawback outside window: not reversed","OK"))))))</f>
        <v/>
      </c>
      <c r="S108">
        <f>AND(ISNUMBER($B108),OR($F108=Statement!$C$3,$H108=Statement!$C$3),OR(AND($B108&gt;=Statement!$C$6,$B108&lt;=Statement!$C$7),AND(ISNUMBER($Q108),$Q108&gt;=Statement!$C$6,$Q108&lt;=Statement!$C$7)))</f>
        <v/>
      </c>
      <c r="T108">
        <f>IF($S108,COUNTIF($S$2:$S108,TRUE),"")</f>
        <v/>
      </c>
      <c r="U108" s="17">
        <f>IF($F108=Statement!$C$3,$N108,0)+IF($H108=Statement!$C$3,$O108,0)</f>
        <v/>
      </c>
      <c r="V108" s="17">
        <f>IF(NOT($S108),0,IF(AND($B108&gt;=Statement!$C$6,$B108&lt;=Statement!$C$7),$U108,0)-IF(ISNUMBER($Q108),IF(AND($Q108&gt;=Statement!$C$6,$Q108&lt;=Statement!$C$7),$U108,0),0))</f>
        <v/>
      </c>
      <c r="W108" s="23">
        <f>IF($F108=Statement!$C$3,$G108,0)+IF($H108=Statement!$C$3,IF($I108="",0,$I108),0)</f>
        <v/>
      </c>
      <c r="X108">
        <f>IF(NOT($S108),"",IF(ISNUMBER($Q108),IF(AND($Q108&gt;=Statement!$C$6,$Q108&lt;=Statement!$C$7),"Clawback: credit reversed",""),"")&amp;IF(AND($B108&gt;=Statement!$C$6,$B108&lt;=Statement!$C$7,N($L108)&lt;1),"Partial credit: "&amp;TEXT($L108,"0%"),""))</f>
        <v/>
      </c>
    </row>
    <row r="109">
      <c r="A109" s="19" t="n"/>
      <c r="B109" s="20" t="n"/>
      <c r="C109" s="19" t="n"/>
      <c r="D109" s="19" t="n"/>
      <c r="E109" s="21" t="n"/>
      <c r="F109" s="19" t="n"/>
      <c r="G109" s="22" t="n"/>
      <c r="H109" s="19" t="n"/>
      <c r="I109" s="22" t="n"/>
      <c r="J109" s="20" t="n"/>
      <c r="K109" s="19" t="n"/>
      <c r="L109" s="23">
        <f>IF($E109="","",IFERROR(VLOOKUP($D109,'Plan setup'!$A$17:$B$21,2,FALSE),0))</f>
        <v/>
      </c>
      <c r="M109" s="17">
        <f>IF($E109="","",$E109*$L109)</f>
        <v/>
      </c>
      <c r="N109" s="17">
        <f>IF(OR($E109="",$F109=""),0,$M109*$G109)</f>
        <v/>
      </c>
      <c r="O109" s="17">
        <f>IF(OR($E109="",$H109=""),0,$M109*$I109)</f>
        <v/>
      </c>
      <c r="P109">
        <f>IF($J109="","",IF($J109-$B109&lt;='Plan setup'!$B$5,"Reversed","Outside window"))</f>
        <v/>
      </c>
      <c r="Q109" s="24">
        <f>IF($P109="Reversed",$J109,"")</f>
        <v/>
      </c>
      <c r="R109">
        <f>IF($E109="","",IF(ABS($G109+IF($I109="",0,$I109)-1)&gt;0.0001,"Splits must total 100%",IF(COUNTIF('Plan setup'!$A$25:$A$34,$F109)=0,"Rep 1 not in Plan setup",IF(IF($H109="",FALSE,COUNTIF('Plan setup'!$A$25:$A$34,$H109)=0),"Rep 2 not in Plan setup",IF(COUNTIF('Plan setup'!$A$17:$A$21,$D109)=0,"Unknown deal type",IF($P109="Outside window","Clawback outside window: not reversed","OK"))))))</f>
        <v/>
      </c>
      <c r="S109">
        <f>AND(ISNUMBER($B109),OR($F109=Statement!$C$3,$H109=Statement!$C$3),OR(AND($B109&gt;=Statement!$C$6,$B109&lt;=Statement!$C$7),AND(ISNUMBER($Q109),$Q109&gt;=Statement!$C$6,$Q109&lt;=Statement!$C$7)))</f>
        <v/>
      </c>
      <c r="T109">
        <f>IF($S109,COUNTIF($S$2:$S109,TRUE),"")</f>
        <v/>
      </c>
      <c r="U109" s="17">
        <f>IF($F109=Statement!$C$3,$N109,0)+IF($H109=Statement!$C$3,$O109,0)</f>
        <v/>
      </c>
      <c r="V109" s="17">
        <f>IF(NOT($S109),0,IF(AND($B109&gt;=Statement!$C$6,$B109&lt;=Statement!$C$7),$U109,0)-IF(ISNUMBER($Q109),IF(AND($Q109&gt;=Statement!$C$6,$Q109&lt;=Statement!$C$7),$U109,0),0))</f>
        <v/>
      </c>
      <c r="W109" s="23">
        <f>IF($F109=Statement!$C$3,$G109,0)+IF($H109=Statement!$C$3,IF($I109="",0,$I109),0)</f>
        <v/>
      </c>
      <c r="X109">
        <f>IF(NOT($S109),"",IF(ISNUMBER($Q109),IF(AND($Q109&gt;=Statement!$C$6,$Q109&lt;=Statement!$C$7),"Clawback: credit reversed",""),"")&amp;IF(AND($B109&gt;=Statement!$C$6,$B109&lt;=Statement!$C$7,N($L109)&lt;1),"Partial credit: "&amp;TEXT($L109,"0%"),""))</f>
        <v/>
      </c>
    </row>
    <row r="110">
      <c r="A110" s="19" t="n"/>
      <c r="B110" s="20" t="n"/>
      <c r="C110" s="19" t="n"/>
      <c r="D110" s="19" t="n"/>
      <c r="E110" s="21" t="n"/>
      <c r="F110" s="19" t="n"/>
      <c r="G110" s="22" t="n"/>
      <c r="H110" s="19" t="n"/>
      <c r="I110" s="22" t="n"/>
      <c r="J110" s="20" t="n"/>
      <c r="K110" s="19" t="n"/>
      <c r="L110" s="23">
        <f>IF($E110="","",IFERROR(VLOOKUP($D110,'Plan setup'!$A$17:$B$21,2,FALSE),0))</f>
        <v/>
      </c>
      <c r="M110" s="17">
        <f>IF($E110="","",$E110*$L110)</f>
        <v/>
      </c>
      <c r="N110" s="17">
        <f>IF(OR($E110="",$F110=""),0,$M110*$G110)</f>
        <v/>
      </c>
      <c r="O110" s="17">
        <f>IF(OR($E110="",$H110=""),0,$M110*$I110)</f>
        <v/>
      </c>
      <c r="P110">
        <f>IF($J110="","",IF($J110-$B110&lt;='Plan setup'!$B$5,"Reversed","Outside window"))</f>
        <v/>
      </c>
      <c r="Q110" s="24">
        <f>IF($P110="Reversed",$J110,"")</f>
        <v/>
      </c>
      <c r="R110">
        <f>IF($E110="","",IF(ABS($G110+IF($I110="",0,$I110)-1)&gt;0.0001,"Splits must total 100%",IF(COUNTIF('Plan setup'!$A$25:$A$34,$F110)=0,"Rep 1 not in Plan setup",IF(IF($H110="",FALSE,COUNTIF('Plan setup'!$A$25:$A$34,$H110)=0),"Rep 2 not in Plan setup",IF(COUNTIF('Plan setup'!$A$17:$A$21,$D110)=0,"Unknown deal type",IF($P110="Outside window","Clawback outside window: not reversed","OK"))))))</f>
        <v/>
      </c>
      <c r="S110">
        <f>AND(ISNUMBER($B110),OR($F110=Statement!$C$3,$H110=Statement!$C$3),OR(AND($B110&gt;=Statement!$C$6,$B110&lt;=Statement!$C$7),AND(ISNUMBER($Q110),$Q110&gt;=Statement!$C$6,$Q110&lt;=Statement!$C$7)))</f>
        <v/>
      </c>
      <c r="T110">
        <f>IF($S110,COUNTIF($S$2:$S110,TRUE),"")</f>
        <v/>
      </c>
      <c r="U110" s="17">
        <f>IF($F110=Statement!$C$3,$N110,0)+IF($H110=Statement!$C$3,$O110,0)</f>
        <v/>
      </c>
      <c r="V110" s="17">
        <f>IF(NOT($S110),0,IF(AND($B110&gt;=Statement!$C$6,$B110&lt;=Statement!$C$7),$U110,0)-IF(ISNUMBER($Q110),IF(AND($Q110&gt;=Statement!$C$6,$Q110&lt;=Statement!$C$7),$U110,0),0))</f>
        <v/>
      </c>
      <c r="W110" s="23">
        <f>IF($F110=Statement!$C$3,$G110,0)+IF($H110=Statement!$C$3,IF($I110="",0,$I110),0)</f>
        <v/>
      </c>
      <c r="X110">
        <f>IF(NOT($S110),"",IF(ISNUMBER($Q110),IF(AND($Q110&gt;=Statement!$C$6,$Q110&lt;=Statement!$C$7),"Clawback: credit reversed",""),"")&amp;IF(AND($B110&gt;=Statement!$C$6,$B110&lt;=Statement!$C$7,N($L110)&lt;1),"Partial credit: "&amp;TEXT($L110,"0%"),""))</f>
        <v/>
      </c>
    </row>
    <row r="111">
      <c r="A111" s="19" t="n"/>
      <c r="B111" s="20" t="n"/>
      <c r="C111" s="19" t="n"/>
      <c r="D111" s="19" t="n"/>
      <c r="E111" s="21" t="n"/>
      <c r="F111" s="19" t="n"/>
      <c r="G111" s="22" t="n"/>
      <c r="H111" s="19" t="n"/>
      <c r="I111" s="22" t="n"/>
      <c r="J111" s="20" t="n"/>
      <c r="K111" s="19" t="n"/>
      <c r="L111" s="23">
        <f>IF($E111="","",IFERROR(VLOOKUP($D111,'Plan setup'!$A$17:$B$21,2,FALSE),0))</f>
        <v/>
      </c>
      <c r="M111" s="17">
        <f>IF($E111="","",$E111*$L111)</f>
        <v/>
      </c>
      <c r="N111" s="17">
        <f>IF(OR($E111="",$F111=""),0,$M111*$G111)</f>
        <v/>
      </c>
      <c r="O111" s="17">
        <f>IF(OR($E111="",$H111=""),0,$M111*$I111)</f>
        <v/>
      </c>
      <c r="P111">
        <f>IF($J111="","",IF($J111-$B111&lt;='Plan setup'!$B$5,"Reversed","Outside window"))</f>
        <v/>
      </c>
      <c r="Q111" s="24">
        <f>IF($P111="Reversed",$J111,"")</f>
        <v/>
      </c>
      <c r="R111">
        <f>IF($E111="","",IF(ABS($G111+IF($I111="",0,$I111)-1)&gt;0.0001,"Splits must total 100%",IF(COUNTIF('Plan setup'!$A$25:$A$34,$F111)=0,"Rep 1 not in Plan setup",IF(IF($H111="",FALSE,COUNTIF('Plan setup'!$A$25:$A$34,$H111)=0),"Rep 2 not in Plan setup",IF(COUNTIF('Plan setup'!$A$17:$A$21,$D111)=0,"Unknown deal type",IF($P111="Outside window","Clawback outside window: not reversed","OK"))))))</f>
        <v/>
      </c>
      <c r="S111">
        <f>AND(ISNUMBER($B111),OR($F111=Statement!$C$3,$H111=Statement!$C$3),OR(AND($B111&gt;=Statement!$C$6,$B111&lt;=Statement!$C$7),AND(ISNUMBER($Q111),$Q111&gt;=Statement!$C$6,$Q111&lt;=Statement!$C$7)))</f>
        <v/>
      </c>
      <c r="T111">
        <f>IF($S111,COUNTIF($S$2:$S111,TRUE),"")</f>
        <v/>
      </c>
      <c r="U111" s="17">
        <f>IF($F111=Statement!$C$3,$N111,0)+IF($H111=Statement!$C$3,$O111,0)</f>
        <v/>
      </c>
      <c r="V111" s="17">
        <f>IF(NOT($S111),0,IF(AND($B111&gt;=Statement!$C$6,$B111&lt;=Statement!$C$7),$U111,0)-IF(ISNUMBER($Q111),IF(AND($Q111&gt;=Statement!$C$6,$Q111&lt;=Statement!$C$7),$U111,0),0))</f>
        <v/>
      </c>
      <c r="W111" s="23">
        <f>IF($F111=Statement!$C$3,$G111,0)+IF($H111=Statement!$C$3,IF($I111="",0,$I111),0)</f>
        <v/>
      </c>
      <c r="X111">
        <f>IF(NOT($S111),"",IF(ISNUMBER($Q111),IF(AND($Q111&gt;=Statement!$C$6,$Q111&lt;=Statement!$C$7),"Clawback: credit reversed",""),"")&amp;IF(AND($B111&gt;=Statement!$C$6,$B111&lt;=Statement!$C$7,N($L111)&lt;1),"Partial credit: "&amp;TEXT($L111,"0%"),""))</f>
        <v/>
      </c>
    </row>
    <row r="112">
      <c r="A112" s="19" t="n"/>
      <c r="B112" s="20" t="n"/>
      <c r="C112" s="19" t="n"/>
      <c r="D112" s="19" t="n"/>
      <c r="E112" s="21" t="n"/>
      <c r="F112" s="19" t="n"/>
      <c r="G112" s="22" t="n"/>
      <c r="H112" s="19" t="n"/>
      <c r="I112" s="22" t="n"/>
      <c r="J112" s="20" t="n"/>
      <c r="K112" s="19" t="n"/>
      <c r="L112" s="23">
        <f>IF($E112="","",IFERROR(VLOOKUP($D112,'Plan setup'!$A$17:$B$21,2,FALSE),0))</f>
        <v/>
      </c>
      <c r="M112" s="17">
        <f>IF($E112="","",$E112*$L112)</f>
        <v/>
      </c>
      <c r="N112" s="17">
        <f>IF(OR($E112="",$F112=""),0,$M112*$G112)</f>
        <v/>
      </c>
      <c r="O112" s="17">
        <f>IF(OR($E112="",$H112=""),0,$M112*$I112)</f>
        <v/>
      </c>
      <c r="P112">
        <f>IF($J112="","",IF($J112-$B112&lt;='Plan setup'!$B$5,"Reversed","Outside window"))</f>
        <v/>
      </c>
      <c r="Q112" s="24">
        <f>IF($P112="Reversed",$J112,"")</f>
        <v/>
      </c>
      <c r="R112">
        <f>IF($E112="","",IF(ABS($G112+IF($I112="",0,$I112)-1)&gt;0.0001,"Splits must total 100%",IF(COUNTIF('Plan setup'!$A$25:$A$34,$F112)=0,"Rep 1 not in Plan setup",IF(IF($H112="",FALSE,COUNTIF('Plan setup'!$A$25:$A$34,$H112)=0),"Rep 2 not in Plan setup",IF(COUNTIF('Plan setup'!$A$17:$A$21,$D112)=0,"Unknown deal type",IF($P112="Outside window","Clawback outside window: not reversed","OK"))))))</f>
        <v/>
      </c>
      <c r="S112">
        <f>AND(ISNUMBER($B112),OR($F112=Statement!$C$3,$H112=Statement!$C$3),OR(AND($B112&gt;=Statement!$C$6,$B112&lt;=Statement!$C$7),AND(ISNUMBER($Q112),$Q112&gt;=Statement!$C$6,$Q112&lt;=Statement!$C$7)))</f>
        <v/>
      </c>
      <c r="T112">
        <f>IF($S112,COUNTIF($S$2:$S112,TRUE),"")</f>
        <v/>
      </c>
      <c r="U112" s="17">
        <f>IF($F112=Statement!$C$3,$N112,0)+IF($H112=Statement!$C$3,$O112,0)</f>
        <v/>
      </c>
      <c r="V112" s="17">
        <f>IF(NOT($S112),0,IF(AND($B112&gt;=Statement!$C$6,$B112&lt;=Statement!$C$7),$U112,0)-IF(ISNUMBER($Q112),IF(AND($Q112&gt;=Statement!$C$6,$Q112&lt;=Statement!$C$7),$U112,0),0))</f>
        <v/>
      </c>
      <c r="W112" s="23">
        <f>IF($F112=Statement!$C$3,$G112,0)+IF($H112=Statement!$C$3,IF($I112="",0,$I112),0)</f>
        <v/>
      </c>
      <c r="X112">
        <f>IF(NOT($S112),"",IF(ISNUMBER($Q112),IF(AND($Q112&gt;=Statement!$C$6,$Q112&lt;=Statement!$C$7),"Clawback: credit reversed",""),"")&amp;IF(AND($B112&gt;=Statement!$C$6,$B112&lt;=Statement!$C$7,N($L112)&lt;1),"Partial credit: "&amp;TEXT($L112,"0%"),""))</f>
        <v/>
      </c>
    </row>
    <row r="113">
      <c r="A113" s="19" t="n"/>
      <c r="B113" s="20" t="n"/>
      <c r="C113" s="19" t="n"/>
      <c r="D113" s="19" t="n"/>
      <c r="E113" s="21" t="n"/>
      <c r="F113" s="19" t="n"/>
      <c r="G113" s="22" t="n"/>
      <c r="H113" s="19" t="n"/>
      <c r="I113" s="22" t="n"/>
      <c r="J113" s="20" t="n"/>
      <c r="K113" s="19" t="n"/>
      <c r="L113" s="23">
        <f>IF($E113="","",IFERROR(VLOOKUP($D113,'Plan setup'!$A$17:$B$21,2,FALSE),0))</f>
        <v/>
      </c>
      <c r="M113" s="17">
        <f>IF($E113="","",$E113*$L113)</f>
        <v/>
      </c>
      <c r="N113" s="17">
        <f>IF(OR($E113="",$F113=""),0,$M113*$G113)</f>
        <v/>
      </c>
      <c r="O113" s="17">
        <f>IF(OR($E113="",$H113=""),0,$M113*$I113)</f>
        <v/>
      </c>
      <c r="P113">
        <f>IF($J113="","",IF($J113-$B113&lt;='Plan setup'!$B$5,"Reversed","Outside window"))</f>
        <v/>
      </c>
      <c r="Q113" s="24">
        <f>IF($P113="Reversed",$J113,"")</f>
        <v/>
      </c>
      <c r="R113">
        <f>IF($E113="","",IF(ABS($G113+IF($I113="",0,$I113)-1)&gt;0.0001,"Splits must total 100%",IF(COUNTIF('Plan setup'!$A$25:$A$34,$F113)=0,"Rep 1 not in Plan setup",IF(IF($H113="",FALSE,COUNTIF('Plan setup'!$A$25:$A$34,$H113)=0),"Rep 2 not in Plan setup",IF(COUNTIF('Plan setup'!$A$17:$A$21,$D113)=0,"Unknown deal type",IF($P113="Outside window","Clawback outside window: not reversed","OK"))))))</f>
        <v/>
      </c>
      <c r="S113">
        <f>AND(ISNUMBER($B113),OR($F113=Statement!$C$3,$H113=Statement!$C$3),OR(AND($B113&gt;=Statement!$C$6,$B113&lt;=Statement!$C$7),AND(ISNUMBER($Q113),$Q113&gt;=Statement!$C$6,$Q113&lt;=Statement!$C$7)))</f>
        <v/>
      </c>
      <c r="T113">
        <f>IF($S113,COUNTIF($S$2:$S113,TRUE),"")</f>
        <v/>
      </c>
      <c r="U113" s="17">
        <f>IF($F113=Statement!$C$3,$N113,0)+IF($H113=Statement!$C$3,$O113,0)</f>
        <v/>
      </c>
      <c r="V113" s="17">
        <f>IF(NOT($S113),0,IF(AND($B113&gt;=Statement!$C$6,$B113&lt;=Statement!$C$7),$U113,0)-IF(ISNUMBER($Q113),IF(AND($Q113&gt;=Statement!$C$6,$Q113&lt;=Statement!$C$7),$U113,0),0))</f>
        <v/>
      </c>
      <c r="W113" s="23">
        <f>IF($F113=Statement!$C$3,$G113,0)+IF($H113=Statement!$C$3,IF($I113="",0,$I113),0)</f>
        <v/>
      </c>
      <c r="X113">
        <f>IF(NOT($S113),"",IF(ISNUMBER($Q113),IF(AND($Q113&gt;=Statement!$C$6,$Q113&lt;=Statement!$C$7),"Clawback: credit reversed",""),"")&amp;IF(AND($B113&gt;=Statement!$C$6,$B113&lt;=Statement!$C$7,N($L113)&lt;1),"Partial credit: "&amp;TEXT($L113,"0%"),""))</f>
        <v/>
      </c>
    </row>
    <row r="114">
      <c r="A114" s="19" t="n"/>
      <c r="B114" s="20" t="n"/>
      <c r="C114" s="19" t="n"/>
      <c r="D114" s="19" t="n"/>
      <c r="E114" s="21" t="n"/>
      <c r="F114" s="19" t="n"/>
      <c r="G114" s="22" t="n"/>
      <c r="H114" s="19" t="n"/>
      <c r="I114" s="22" t="n"/>
      <c r="J114" s="20" t="n"/>
      <c r="K114" s="19" t="n"/>
      <c r="L114" s="23">
        <f>IF($E114="","",IFERROR(VLOOKUP($D114,'Plan setup'!$A$17:$B$21,2,FALSE),0))</f>
        <v/>
      </c>
      <c r="M114" s="17">
        <f>IF($E114="","",$E114*$L114)</f>
        <v/>
      </c>
      <c r="N114" s="17">
        <f>IF(OR($E114="",$F114=""),0,$M114*$G114)</f>
        <v/>
      </c>
      <c r="O114" s="17">
        <f>IF(OR($E114="",$H114=""),0,$M114*$I114)</f>
        <v/>
      </c>
      <c r="P114">
        <f>IF($J114="","",IF($J114-$B114&lt;='Plan setup'!$B$5,"Reversed","Outside window"))</f>
        <v/>
      </c>
      <c r="Q114" s="24">
        <f>IF($P114="Reversed",$J114,"")</f>
        <v/>
      </c>
      <c r="R114">
        <f>IF($E114="","",IF(ABS($G114+IF($I114="",0,$I114)-1)&gt;0.0001,"Splits must total 100%",IF(COUNTIF('Plan setup'!$A$25:$A$34,$F114)=0,"Rep 1 not in Plan setup",IF(IF($H114="",FALSE,COUNTIF('Plan setup'!$A$25:$A$34,$H114)=0),"Rep 2 not in Plan setup",IF(COUNTIF('Plan setup'!$A$17:$A$21,$D114)=0,"Unknown deal type",IF($P114="Outside window","Clawback outside window: not reversed","OK"))))))</f>
        <v/>
      </c>
      <c r="S114">
        <f>AND(ISNUMBER($B114),OR($F114=Statement!$C$3,$H114=Statement!$C$3),OR(AND($B114&gt;=Statement!$C$6,$B114&lt;=Statement!$C$7),AND(ISNUMBER($Q114),$Q114&gt;=Statement!$C$6,$Q114&lt;=Statement!$C$7)))</f>
        <v/>
      </c>
      <c r="T114">
        <f>IF($S114,COUNTIF($S$2:$S114,TRUE),"")</f>
        <v/>
      </c>
      <c r="U114" s="17">
        <f>IF($F114=Statement!$C$3,$N114,0)+IF($H114=Statement!$C$3,$O114,0)</f>
        <v/>
      </c>
      <c r="V114" s="17">
        <f>IF(NOT($S114),0,IF(AND($B114&gt;=Statement!$C$6,$B114&lt;=Statement!$C$7),$U114,0)-IF(ISNUMBER($Q114),IF(AND($Q114&gt;=Statement!$C$6,$Q114&lt;=Statement!$C$7),$U114,0),0))</f>
        <v/>
      </c>
      <c r="W114" s="23">
        <f>IF($F114=Statement!$C$3,$G114,0)+IF($H114=Statement!$C$3,IF($I114="",0,$I114),0)</f>
        <v/>
      </c>
      <c r="X114">
        <f>IF(NOT($S114),"",IF(ISNUMBER($Q114),IF(AND($Q114&gt;=Statement!$C$6,$Q114&lt;=Statement!$C$7),"Clawback: credit reversed",""),"")&amp;IF(AND($B114&gt;=Statement!$C$6,$B114&lt;=Statement!$C$7,N($L114)&lt;1),"Partial credit: "&amp;TEXT($L114,"0%"),""))</f>
        <v/>
      </c>
    </row>
    <row r="115">
      <c r="A115" s="19" t="n"/>
      <c r="B115" s="20" t="n"/>
      <c r="C115" s="19" t="n"/>
      <c r="D115" s="19" t="n"/>
      <c r="E115" s="21" t="n"/>
      <c r="F115" s="19" t="n"/>
      <c r="G115" s="22" t="n"/>
      <c r="H115" s="19" t="n"/>
      <c r="I115" s="22" t="n"/>
      <c r="J115" s="20" t="n"/>
      <c r="K115" s="19" t="n"/>
      <c r="L115" s="23">
        <f>IF($E115="","",IFERROR(VLOOKUP($D115,'Plan setup'!$A$17:$B$21,2,FALSE),0))</f>
        <v/>
      </c>
      <c r="M115" s="17">
        <f>IF($E115="","",$E115*$L115)</f>
        <v/>
      </c>
      <c r="N115" s="17">
        <f>IF(OR($E115="",$F115=""),0,$M115*$G115)</f>
        <v/>
      </c>
      <c r="O115" s="17">
        <f>IF(OR($E115="",$H115=""),0,$M115*$I115)</f>
        <v/>
      </c>
      <c r="P115">
        <f>IF($J115="","",IF($J115-$B115&lt;='Plan setup'!$B$5,"Reversed","Outside window"))</f>
        <v/>
      </c>
      <c r="Q115" s="24">
        <f>IF($P115="Reversed",$J115,"")</f>
        <v/>
      </c>
      <c r="R115">
        <f>IF($E115="","",IF(ABS($G115+IF($I115="",0,$I115)-1)&gt;0.0001,"Splits must total 100%",IF(COUNTIF('Plan setup'!$A$25:$A$34,$F115)=0,"Rep 1 not in Plan setup",IF(IF($H115="",FALSE,COUNTIF('Plan setup'!$A$25:$A$34,$H115)=0),"Rep 2 not in Plan setup",IF(COUNTIF('Plan setup'!$A$17:$A$21,$D115)=0,"Unknown deal type",IF($P115="Outside window","Clawback outside window: not reversed","OK"))))))</f>
        <v/>
      </c>
      <c r="S115">
        <f>AND(ISNUMBER($B115),OR($F115=Statement!$C$3,$H115=Statement!$C$3),OR(AND($B115&gt;=Statement!$C$6,$B115&lt;=Statement!$C$7),AND(ISNUMBER($Q115),$Q115&gt;=Statement!$C$6,$Q115&lt;=Statement!$C$7)))</f>
        <v/>
      </c>
      <c r="T115">
        <f>IF($S115,COUNTIF($S$2:$S115,TRUE),"")</f>
        <v/>
      </c>
      <c r="U115" s="17">
        <f>IF($F115=Statement!$C$3,$N115,0)+IF($H115=Statement!$C$3,$O115,0)</f>
        <v/>
      </c>
      <c r="V115" s="17">
        <f>IF(NOT($S115),0,IF(AND($B115&gt;=Statement!$C$6,$B115&lt;=Statement!$C$7),$U115,0)-IF(ISNUMBER($Q115),IF(AND($Q115&gt;=Statement!$C$6,$Q115&lt;=Statement!$C$7),$U115,0),0))</f>
        <v/>
      </c>
      <c r="W115" s="23">
        <f>IF($F115=Statement!$C$3,$G115,0)+IF($H115=Statement!$C$3,IF($I115="",0,$I115),0)</f>
        <v/>
      </c>
      <c r="X115">
        <f>IF(NOT($S115),"",IF(ISNUMBER($Q115),IF(AND($Q115&gt;=Statement!$C$6,$Q115&lt;=Statement!$C$7),"Clawback: credit reversed",""),"")&amp;IF(AND($B115&gt;=Statement!$C$6,$B115&lt;=Statement!$C$7,N($L115)&lt;1),"Partial credit: "&amp;TEXT($L115,"0%"),""))</f>
        <v/>
      </c>
    </row>
    <row r="116">
      <c r="A116" s="19" t="n"/>
      <c r="B116" s="20" t="n"/>
      <c r="C116" s="19" t="n"/>
      <c r="D116" s="19" t="n"/>
      <c r="E116" s="21" t="n"/>
      <c r="F116" s="19" t="n"/>
      <c r="G116" s="22" t="n"/>
      <c r="H116" s="19" t="n"/>
      <c r="I116" s="22" t="n"/>
      <c r="J116" s="20" t="n"/>
      <c r="K116" s="19" t="n"/>
      <c r="L116" s="23">
        <f>IF($E116="","",IFERROR(VLOOKUP($D116,'Plan setup'!$A$17:$B$21,2,FALSE),0))</f>
        <v/>
      </c>
      <c r="M116" s="17">
        <f>IF($E116="","",$E116*$L116)</f>
        <v/>
      </c>
      <c r="N116" s="17">
        <f>IF(OR($E116="",$F116=""),0,$M116*$G116)</f>
        <v/>
      </c>
      <c r="O116" s="17">
        <f>IF(OR($E116="",$H116=""),0,$M116*$I116)</f>
        <v/>
      </c>
      <c r="P116">
        <f>IF($J116="","",IF($J116-$B116&lt;='Plan setup'!$B$5,"Reversed","Outside window"))</f>
        <v/>
      </c>
      <c r="Q116" s="24">
        <f>IF($P116="Reversed",$J116,"")</f>
        <v/>
      </c>
      <c r="R116">
        <f>IF($E116="","",IF(ABS($G116+IF($I116="",0,$I116)-1)&gt;0.0001,"Splits must total 100%",IF(COUNTIF('Plan setup'!$A$25:$A$34,$F116)=0,"Rep 1 not in Plan setup",IF(IF($H116="",FALSE,COUNTIF('Plan setup'!$A$25:$A$34,$H116)=0),"Rep 2 not in Plan setup",IF(COUNTIF('Plan setup'!$A$17:$A$21,$D116)=0,"Unknown deal type",IF($P116="Outside window","Clawback outside window: not reversed","OK"))))))</f>
        <v/>
      </c>
      <c r="S116">
        <f>AND(ISNUMBER($B116),OR($F116=Statement!$C$3,$H116=Statement!$C$3),OR(AND($B116&gt;=Statement!$C$6,$B116&lt;=Statement!$C$7),AND(ISNUMBER($Q116),$Q116&gt;=Statement!$C$6,$Q116&lt;=Statement!$C$7)))</f>
        <v/>
      </c>
      <c r="T116">
        <f>IF($S116,COUNTIF($S$2:$S116,TRUE),"")</f>
        <v/>
      </c>
      <c r="U116" s="17">
        <f>IF($F116=Statement!$C$3,$N116,0)+IF($H116=Statement!$C$3,$O116,0)</f>
        <v/>
      </c>
      <c r="V116" s="17">
        <f>IF(NOT($S116),0,IF(AND($B116&gt;=Statement!$C$6,$B116&lt;=Statement!$C$7),$U116,0)-IF(ISNUMBER($Q116),IF(AND($Q116&gt;=Statement!$C$6,$Q116&lt;=Statement!$C$7),$U116,0),0))</f>
        <v/>
      </c>
      <c r="W116" s="23">
        <f>IF($F116=Statement!$C$3,$G116,0)+IF($H116=Statement!$C$3,IF($I116="",0,$I116),0)</f>
        <v/>
      </c>
      <c r="X116">
        <f>IF(NOT($S116),"",IF(ISNUMBER($Q116),IF(AND($Q116&gt;=Statement!$C$6,$Q116&lt;=Statement!$C$7),"Clawback: credit reversed",""),"")&amp;IF(AND($B116&gt;=Statement!$C$6,$B116&lt;=Statement!$C$7,N($L116)&lt;1),"Partial credit: "&amp;TEXT($L116,"0%"),""))</f>
        <v/>
      </c>
    </row>
    <row r="117">
      <c r="A117" s="19" t="n"/>
      <c r="B117" s="20" t="n"/>
      <c r="C117" s="19" t="n"/>
      <c r="D117" s="19" t="n"/>
      <c r="E117" s="21" t="n"/>
      <c r="F117" s="19" t="n"/>
      <c r="G117" s="22" t="n"/>
      <c r="H117" s="19" t="n"/>
      <c r="I117" s="22" t="n"/>
      <c r="J117" s="20" t="n"/>
      <c r="K117" s="19" t="n"/>
      <c r="L117" s="23">
        <f>IF($E117="","",IFERROR(VLOOKUP($D117,'Plan setup'!$A$17:$B$21,2,FALSE),0))</f>
        <v/>
      </c>
      <c r="M117" s="17">
        <f>IF($E117="","",$E117*$L117)</f>
        <v/>
      </c>
      <c r="N117" s="17">
        <f>IF(OR($E117="",$F117=""),0,$M117*$G117)</f>
        <v/>
      </c>
      <c r="O117" s="17">
        <f>IF(OR($E117="",$H117=""),0,$M117*$I117)</f>
        <v/>
      </c>
      <c r="P117">
        <f>IF($J117="","",IF($J117-$B117&lt;='Plan setup'!$B$5,"Reversed","Outside window"))</f>
        <v/>
      </c>
      <c r="Q117" s="24">
        <f>IF($P117="Reversed",$J117,"")</f>
        <v/>
      </c>
      <c r="R117">
        <f>IF($E117="","",IF(ABS($G117+IF($I117="",0,$I117)-1)&gt;0.0001,"Splits must total 100%",IF(COUNTIF('Plan setup'!$A$25:$A$34,$F117)=0,"Rep 1 not in Plan setup",IF(IF($H117="",FALSE,COUNTIF('Plan setup'!$A$25:$A$34,$H117)=0),"Rep 2 not in Plan setup",IF(COUNTIF('Plan setup'!$A$17:$A$21,$D117)=0,"Unknown deal type",IF($P117="Outside window","Clawback outside window: not reversed","OK"))))))</f>
        <v/>
      </c>
      <c r="S117">
        <f>AND(ISNUMBER($B117),OR($F117=Statement!$C$3,$H117=Statement!$C$3),OR(AND($B117&gt;=Statement!$C$6,$B117&lt;=Statement!$C$7),AND(ISNUMBER($Q117),$Q117&gt;=Statement!$C$6,$Q117&lt;=Statement!$C$7)))</f>
        <v/>
      </c>
      <c r="T117">
        <f>IF($S117,COUNTIF($S$2:$S117,TRUE),"")</f>
        <v/>
      </c>
      <c r="U117" s="17">
        <f>IF($F117=Statement!$C$3,$N117,0)+IF($H117=Statement!$C$3,$O117,0)</f>
        <v/>
      </c>
      <c r="V117" s="17">
        <f>IF(NOT($S117),0,IF(AND($B117&gt;=Statement!$C$6,$B117&lt;=Statement!$C$7),$U117,0)-IF(ISNUMBER($Q117),IF(AND($Q117&gt;=Statement!$C$6,$Q117&lt;=Statement!$C$7),$U117,0),0))</f>
        <v/>
      </c>
      <c r="W117" s="23">
        <f>IF($F117=Statement!$C$3,$G117,0)+IF($H117=Statement!$C$3,IF($I117="",0,$I117),0)</f>
        <v/>
      </c>
      <c r="X117">
        <f>IF(NOT($S117),"",IF(ISNUMBER($Q117),IF(AND($Q117&gt;=Statement!$C$6,$Q117&lt;=Statement!$C$7),"Clawback: credit reversed",""),"")&amp;IF(AND($B117&gt;=Statement!$C$6,$B117&lt;=Statement!$C$7,N($L117)&lt;1),"Partial credit: "&amp;TEXT($L117,"0%"),""))</f>
        <v/>
      </c>
    </row>
    <row r="118">
      <c r="A118" s="19" t="n"/>
      <c r="B118" s="20" t="n"/>
      <c r="C118" s="19" t="n"/>
      <c r="D118" s="19" t="n"/>
      <c r="E118" s="21" t="n"/>
      <c r="F118" s="19" t="n"/>
      <c r="G118" s="22" t="n"/>
      <c r="H118" s="19" t="n"/>
      <c r="I118" s="22" t="n"/>
      <c r="J118" s="20" t="n"/>
      <c r="K118" s="19" t="n"/>
      <c r="L118" s="23">
        <f>IF($E118="","",IFERROR(VLOOKUP($D118,'Plan setup'!$A$17:$B$21,2,FALSE),0))</f>
        <v/>
      </c>
      <c r="M118" s="17">
        <f>IF($E118="","",$E118*$L118)</f>
        <v/>
      </c>
      <c r="N118" s="17">
        <f>IF(OR($E118="",$F118=""),0,$M118*$G118)</f>
        <v/>
      </c>
      <c r="O118" s="17">
        <f>IF(OR($E118="",$H118=""),0,$M118*$I118)</f>
        <v/>
      </c>
      <c r="P118">
        <f>IF($J118="","",IF($J118-$B118&lt;='Plan setup'!$B$5,"Reversed","Outside window"))</f>
        <v/>
      </c>
      <c r="Q118" s="24">
        <f>IF($P118="Reversed",$J118,"")</f>
        <v/>
      </c>
      <c r="R118">
        <f>IF($E118="","",IF(ABS($G118+IF($I118="",0,$I118)-1)&gt;0.0001,"Splits must total 100%",IF(COUNTIF('Plan setup'!$A$25:$A$34,$F118)=0,"Rep 1 not in Plan setup",IF(IF($H118="",FALSE,COUNTIF('Plan setup'!$A$25:$A$34,$H118)=0),"Rep 2 not in Plan setup",IF(COUNTIF('Plan setup'!$A$17:$A$21,$D118)=0,"Unknown deal type",IF($P118="Outside window","Clawback outside window: not reversed","OK"))))))</f>
        <v/>
      </c>
      <c r="S118">
        <f>AND(ISNUMBER($B118),OR($F118=Statement!$C$3,$H118=Statement!$C$3),OR(AND($B118&gt;=Statement!$C$6,$B118&lt;=Statement!$C$7),AND(ISNUMBER($Q118),$Q118&gt;=Statement!$C$6,$Q118&lt;=Statement!$C$7)))</f>
        <v/>
      </c>
      <c r="T118">
        <f>IF($S118,COUNTIF($S$2:$S118,TRUE),"")</f>
        <v/>
      </c>
      <c r="U118" s="17">
        <f>IF($F118=Statement!$C$3,$N118,0)+IF($H118=Statement!$C$3,$O118,0)</f>
        <v/>
      </c>
      <c r="V118" s="17">
        <f>IF(NOT($S118),0,IF(AND($B118&gt;=Statement!$C$6,$B118&lt;=Statement!$C$7),$U118,0)-IF(ISNUMBER($Q118),IF(AND($Q118&gt;=Statement!$C$6,$Q118&lt;=Statement!$C$7),$U118,0),0))</f>
        <v/>
      </c>
      <c r="W118" s="23">
        <f>IF($F118=Statement!$C$3,$G118,0)+IF($H118=Statement!$C$3,IF($I118="",0,$I118),0)</f>
        <v/>
      </c>
      <c r="X118">
        <f>IF(NOT($S118),"",IF(ISNUMBER($Q118),IF(AND($Q118&gt;=Statement!$C$6,$Q118&lt;=Statement!$C$7),"Clawback: credit reversed",""),"")&amp;IF(AND($B118&gt;=Statement!$C$6,$B118&lt;=Statement!$C$7,N($L118)&lt;1),"Partial credit: "&amp;TEXT($L118,"0%"),""))</f>
        <v/>
      </c>
    </row>
    <row r="119">
      <c r="A119" s="19" t="n"/>
      <c r="B119" s="20" t="n"/>
      <c r="C119" s="19" t="n"/>
      <c r="D119" s="19" t="n"/>
      <c r="E119" s="21" t="n"/>
      <c r="F119" s="19" t="n"/>
      <c r="G119" s="22" t="n"/>
      <c r="H119" s="19" t="n"/>
      <c r="I119" s="22" t="n"/>
      <c r="J119" s="20" t="n"/>
      <c r="K119" s="19" t="n"/>
      <c r="L119" s="23">
        <f>IF($E119="","",IFERROR(VLOOKUP($D119,'Plan setup'!$A$17:$B$21,2,FALSE),0))</f>
        <v/>
      </c>
      <c r="M119" s="17">
        <f>IF($E119="","",$E119*$L119)</f>
        <v/>
      </c>
      <c r="N119" s="17">
        <f>IF(OR($E119="",$F119=""),0,$M119*$G119)</f>
        <v/>
      </c>
      <c r="O119" s="17">
        <f>IF(OR($E119="",$H119=""),0,$M119*$I119)</f>
        <v/>
      </c>
      <c r="P119">
        <f>IF($J119="","",IF($J119-$B119&lt;='Plan setup'!$B$5,"Reversed","Outside window"))</f>
        <v/>
      </c>
      <c r="Q119" s="24">
        <f>IF($P119="Reversed",$J119,"")</f>
        <v/>
      </c>
      <c r="R119">
        <f>IF($E119="","",IF(ABS($G119+IF($I119="",0,$I119)-1)&gt;0.0001,"Splits must total 100%",IF(COUNTIF('Plan setup'!$A$25:$A$34,$F119)=0,"Rep 1 not in Plan setup",IF(IF($H119="",FALSE,COUNTIF('Plan setup'!$A$25:$A$34,$H119)=0),"Rep 2 not in Plan setup",IF(COUNTIF('Plan setup'!$A$17:$A$21,$D119)=0,"Unknown deal type",IF($P119="Outside window","Clawback outside window: not reversed","OK"))))))</f>
        <v/>
      </c>
      <c r="S119">
        <f>AND(ISNUMBER($B119),OR($F119=Statement!$C$3,$H119=Statement!$C$3),OR(AND($B119&gt;=Statement!$C$6,$B119&lt;=Statement!$C$7),AND(ISNUMBER($Q119),$Q119&gt;=Statement!$C$6,$Q119&lt;=Statement!$C$7)))</f>
        <v/>
      </c>
      <c r="T119">
        <f>IF($S119,COUNTIF($S$2:$S119,TRUE),"")</f>
        <v/>
      </c>
      <c r="U119" s="17">
        <f>IF($F119=Statement!$C$3,$N119,0)+IF($H119=Statement!$C$3,$O119,0)</f>
        <v/>
      </c>
      <c r="V119" s="17">
        <f>IF(NOT($S119),0,IF(AND($B119&gt;=Statement!$C$6,$B119&lt;=Statement!$C$7),$U119,0)-IF(ISNUMBER($Q119),IF(AND($Q119&gt;=Statement!$C$6,$Q119&lt;=Statement!$C$7),$U119,0),0))</f>
        <v/>
      </c>
      <c r="W119" s="23">
        <f>IF($F119=Statement!$C$3,$G119,0)+IF($H119=Statement!$C$3,IF($I119="",0,$I119),0)</f>
        <v/>
      </c>
      <c r="X119">
        <f>IF(NOT($S119),"",IF(ISNUMBER($Q119),IF(AND($Q119&gt;=Statement!$C$6,$Q119&lt;=Statement!$C$7),"Clawback: credit reversed",""),"")&amp;IF(AND($B119&gt;=Statement!$C$6,$B119&lt;=Statement!$C$7,N($L119)&lt;1),"Partial credit: "&amp;TEXT($L119,"0%"),""))</f>
        <v/>
      </c>
    </row>
    <row r="120">
      <c r="A120" s="19" t="n"/>
      <c r="B120" s="20" t="n"/>
      <c r="C120" s="19" t="n"/>
      <c r="D120" s="19" t="n"/>
      <c r="E120" s="21" t="n"/>
      <c r="F120" s="19" t="n"/>
      <c r="G120" s="22" t="n"/>
      <c r="H120" s="19" t="n"/>
      <c r="I120" s="22" t="n"/>
      <c r="J120" s="20" t="n"/>
      <c r="K120" s="19" t="n"/>
      <c r="L120" s="23">
        <f>IF($E120="","",IFERROR(VLOOKUP($D120,'Plan setup'!$A$17:$B$21,2,FALSE),0))</f>
        <v/>
      </c>
      <c r="M120" s="17">
        <f>IF($E120="","",$E120*$L120)</f>
        <v/>
      </c>
      <c r="N120" s="17">
        <f>IF(OR($E120="",$F120=""),0,$M120*$G120)</f>
        <v/>
      </c>
      <c r="O120" s="17">
        <f>IF(OR($E120="",$H120=""),0,$M120*$I120)</f>
        <v/>
      </c>
      <c r="P120">
        <f>IF($J120="","",IF($J120-$B120&lt;='Plan setup'!$B$5,"Reversed","Outside window"))</f>
        <v/>
      </c>
      <c r="Q120" s="24">
        <f>IF($P120="Reversed",$J120,"")</f>
        <v/>
      </c>
      <c r="R120">
        <f>IF($E120="","",IF(ABS($G120+IF($I120="",0,$I120)-1)&gt;0.0001,"Splits must total 100%",IF(COUNTIF('Plan setup'!$A$25:$A$34,$F120)=0,"Rep 1 not in Plan setup",IF(IF($H120="",FALSE,COUNTIF('Plan setup'!$A$25:$A$34,$H120)=0),"Rep 2 not in Plan setup",IF(COUNTIF('Plan setup'!$A$17:$A$21,$D120)=0,"Unknown deal type",IF($P120="Outside window","Clawback outside window: not reversed","OK"))))))</f>
        <v/>
      </c>
      <c r="S120">
        <f>AND(ISNUMBER($B120),OR($F120=Statement!$C$3,$H120=Statement!$C$3),OR(AND($B120&gt;=Statement!$C$6,$B120&lt;=Statement!$C$7),AND(ISNUMBER($Q120),$Q120&gt;=Statement!$C$6,$Q120&lt;=Statement!$C$7)))</f>
        <v/>
      </c>
      <c r="T120">
        <f>IF($S120,COUNTIF($S$2:$S120,TRUE),"")</f>
        <v/>
      </c>
      <c r="U120" s="17">
        <f>IF($F120=Statement!$C$3,$N120,0)+IF($H120=Statement!$C$3,$O120,0)</f>
        <v/>
      </c>
      <c r="V120" s="17">
        <f>IF(NOT($S120),0,IF(AND($B120&gt;=Statement!$C$6,$B120&lt;=Statement!$C$7),$U120,0)-IF(ISNUMBER($Q120),IF(AND($Q120&gt;=Statement!$C$6,$Q120&lt;=Statement!$C$7),$U120,0),0))</f>
        <v/>
      </c>
      <c r="W120" s="23">
        <f>IF($F120=Statement!$C$3,$G120,0)+IF($H120=Statement!$C$3,IF($I120="",0,$I120),0)</f>
        <v/>
      </c>
      <c r="X120">
        <f>IF(NOT($S120),"",IF(ISNUMBER($Q120),IF(AND($Q120&gt;=Statement!$C$6,$Q120&lt;=Statement!$C$7),"Clawback: credit reversed",""),"")&amp;IF(AND($B120&gt;=Statement!$C$6,$B120&lt;=Statement!$C$7,N($L120)&lt;1),"Partial credit: "&amp;TEXT($L120,"0%"),""))</f>
        <v/>
      </c>
    </row>
    <row r="121">
      <c r="A121" s="19" t="n"/>
      <c r="B121" s="20" t="n"/>
      <c r="C121" s="19" t="n"/>
      <c r="D121" s="19" t="n"/>
      <c r="E121" s="21" t="n"/>
      <c r="F121" s="19" t="n"/>
      <c r="G121" s="22" t="n"/>
      <c r="H121" s="19" t="n"/>
      <c r="I121" s="22" t="n"/>
      <c r="J121" s="20" t="n"/>
      <c r="K121" s="19" t="n"/>
      <c r="L121" s="23">
        <f>IF($E121="","",IFERROR(VLOOKUP($D121,'Plan setup'!$A$17:$B$21,2,FALSE),0))</f>
        <v/>
      </c>
      <c r="M121" s="17">
        <f>IF($E121="","",$E121*$L121)</f>
        <v/>
      </c>
      <c r="N121" s="17">
        <f>IF(OR($E121="",$F121=""),0,$M121*$G121)</f>
        <v/>
      </c>
      <c r="O121" s="17">
        <f>IF(OR($E121="",$H121=""),0,$M121*$I121)</f>
        <v/>
      </c>
      <c r="P121">
        <f>IF($J121="","",IF($J121-$B121&lt;='Plan setup'!$B$5,"Reversed","Outside window"))</f>
        <v/>
      </c>
      <c r="Q121" s="24">
        <f>IF($P121="Reversed",$J121,"")</f>
        <v/>
      </c>
      <c r="R121">
        <f>IF($E121="","",IF(ABS($G121+IF($I121="",0,$I121)-1)&gt;0.0001,"Splits must total 100%",IF(COUNTIF('Plan setup'!$A$25:$A$34,$F121)=0,"Rep 1 not in Plan setup",IF(IF($H121="",FALSE,COUNTIF('Plan setup'!$A$25:$A$34,$H121)=0),"Rep 2 not in Plan setup",IF(COUNTIF('Plan setup'!$A$17:$A$21,$D121)=0,"Unknown deal type",IF($P121="Outside window","Clawback outside window: not reversed","OK"))))))</f>
        <v/>
      </c>
      <c r="S121">
        <f>AND(ISNUMBER($B121),OR($F121=Statement!$C$3,$H121=Statement!$C$3),OR(AND($B121&gt;=Statement!$C$6,$B121&lt;=Statement!$C$7),AND(ISNUMBER($Q121),$Q121&gt;=Statement!$C$6,$Q121&lt;=Statement!$C$7)))</f>
        <v/>
      </c>
      <c r="T121">
        <f>IF($S121,COUNTIF($S$2:$S121,TRUE),"")</f>
        <v/>
      </c>
      <c r="U121" s="17">
        <f>IF($F121=Statement!$C$3,$N121,0)+IF($H121=Statement!$C$3,$O121,0)</f>
        <v/>
      </c>
      <c r="V121" s="17">
        <f>IF(NOT($S121),0,IF(AND($B121&gt;=Statement!$C$6,$B121&lt;=Statement!$C$7),$U121,0)-IF(ISNUMBER($Q121),IF(AND($Q121&gt;=Statement!$C$6,$Q121&lt;=Statement!$C$7),$U121,0),0))</f>
        <v/>
      </c>
      <c r="W121" s="23">
        <f>IF($F121=Statement!$C$3,$G121,0)+IF($H121=Statement!$C$3,IF($I121="",0,$I121),0)</f>
        <v/>
      </c>
      <c r="X121">
        <f>IF(NOT($S121),"",IF(ISNUMBER($Q121),IF(AND($Q121&gt;=Statement!$C$6,$Q121&lt;=Statement!$C$7),"Clawback: credit reversed",""),"")&amp;IF(AND($B121&gt;=Statement!$C$6,$B121&lt;=Statement!$C$7,N($L121)&lt;1),"Partial credit: "&amp;TEXT($L121,"0%"),""))</f>
        <v/>
      </c>
    </row>
    <row r="122">
      <c r="A122" s="19" t="n"/>
      <c r="B122" s="20" t="n"/>
      <c r="C122" s="19" t="n"/>
      <c r="D122" s="19" t="n"/>
      <c r="E122" s="21" t="n"/>
      <c r="F122" s="19" t="n"/>
      <c r="G122" s="22" t="n"/>
      <c r="H122" s="19" t="n"/>
      <c r="I122" s="22" t="n"/>
      <c r="J122" s="20" t="n"/>
      <c r="K122" s="19" t="n"/>
      <c r="L122" s="23">
        <f>IF($E122="","",IFERROR(VLOOKUP($D122,'Plan setup'!$A$17:$B$21,2,FALSE),0))</f>
        <v/>
      </c>
      <c r="M122" s="17">
        <f>IF($E122="","",$E122*$L122)</f>
        <v/>
      </c>
      <c r="N122" s="17">
        <f>IF(OR($E122="",$F122=""),0,$M122*$G122)</f>
        <v/>
      </c>
      <c r="O122" s="17">
        <f>IF(OR($E122="",$H122=""),0,$M122*$I122)</f>
        <v/>
      </c>
      <c r="P122">
        <f>IF($J122="","",IF($J122-$B122&lt;='Plan setup'!$B$5,"Reversed","Outside window"))</f>
        <v/>
      </c>
      <c r="Q122" s="24">
        <f>IF($P122="Reversed",$J122,"")</f>
        <v/>
      </c>
      <c r="R122">
        <f>IF($E122="","",IF(ABS($G122+IF($I122="",0,$I122)-1)&gt;0.0001,"Splits must total 100%",IF(COUNTIF('Plan setup'!$A$25:$A$34,$F122)=0,"Rep 1 not in Plan setup",IF(IF($H122="",FALSE,COUNTIF('Plan setup'!$A$25:$A$34,$H122)=0),"Rep 2 not in Plan setup",IF(COUNTIF('Plan setup'!$A$17:$A$21,$D122)=0,"Unknown deal type",IF($P122="Outside window","Clawback outside window: not reversed","OK"))))))</f>
        <v/>
      </c>
      <c r="S122">
        <f>AND(ISNUMBER($B122),OR($F122=Statement!$C$3,$H122=Statement!$C$3),OR(AND($B122&gt;=Statement!$C$6,$B122&lt;=Statement!$C$7),AND(ISNUMBER($Q122),$Q122&gt;=Statement!$C$6,$Q122&lt;=Statement!$C$7)))</f>
        <v/>
      </c>
      <c r="T122">
        <f>IF($S122,COUNTIF($S$2:$S122,TRUE),"")</f>
        <v/>
      </c>
      <c r="U122" s="17">
        <f>IF($F122=Statement!$C$3,$N122,0)+IF($H122=Statement!$C$3,$O122,0)</f>
        <v/>
      </c>
      <c r="V122" s="17">
        <f>IF(NOT($S122),0,IF(AND($B122&gt;=Statement!$C$6,$B122&lt;=Statement!$C$7),$U122,0)-IF(ISNUMBER($Q122),IF(AND($Q122&gt;=Statement!$C$6,$Q122&lt;=Statement!$C$7),$U122,0),0))</f>
        <v/>
      </c>
      <c r="W122" s="23">
        <f>IF($F122=Statement!$C$3,$G122,0)+IF($H122=Statement!$C$3,IF($I122="",0,$I122),0)</f>
        <v/>
      </c>
      <c r="X122">
        <f>IF(NOT($S122),"",IF(ISNUMBER($Q122),IF(AND($Q122&gt;=Statement!$C$6,$Q122&lt;=Statement!$C$7),"Clawback: credit reversed",""),"")&amp;IF(AND($B122&gt;=Statement!$C$6,$B122&lt;=Statement!$C$7,N($L122)&lt;1),"Partial credit: "&amp;TEXT($L122,"0%"),""))</f>
        <v/>
      </c>
    </row>
    <row r="123">
      <c r="A123" s="19" t="n"/>
      <c r="B123" s="20" t="n"/>
      <c r="C123" s="19" t="n"/>
      <c r="D123" s="19" t="n"/>
      <c r="E123" s="21" t="n"/>
      <c r="F123" s="19" t="n"/>
      <c r="G123" s="22" t="n"/>
      <c r="H123" s="19" t="n"/>
      <c r="I123" s="22" t="n"/>
      <c r="J123" s="20" t="n"/>
      <c r="K123" s="19" t="n"/>
      <c r="L123" s="23">
        <f>IF($E123="","",IFERROR(VLOOKUP($D123,'Plan setup'!$A$17:$B$21,2,FALSE),0))</f>
        <v/>
      </c>
      <c r="M123" s="17">
        <f>IF($E123="","",$E123*$L123)</f>
        <v/>
      </c>
      <c r="N123" s="17">
        <f>IF(OR($E123="",$F123=""),0,$M123*$G123)</f>
        <v/>
      </c>
      <c r="O123" s="17">
        <f>IF(OR($E123="",$H123=""),0,$M123*$I123)</f>
        <v/>
      </c>
      <c r="P123">
        <f>IF($J123="","",IF($J123-$B123&lt;='Plan setup'!$B$5,"Reversed","Outside window"))</f>
        <v/>
      </c>
      <c r="Q123" s="24">
        <f>IF($P123="Reversed",$J123,"")</f>
        <v/>
      </c>
      <c r="R123">
        <f>IF($E123="","",IF(ABS($G123+IF($I123="",0,$I123)-1)&gt;0.0001,"Splits must total 100%",IF(COUNTIF('Plan setup'!$A$25:$A$34,$F123)=0,"Rep 1 not in Plan setup",IF(IF($H123="",FALSE,COUNTIF('Plan setup'!$A$25:$A$34,$H123)=0),"Rep 2 not in Plan setup",IF(COUNTIF('Plan setup'!$A$17:$A$21,$D123)=0,"Unknown deal type",IF($P123="Outside window","Clawback outside window: not reversed","OK"))))))</f>
        <v/>
      </c>
      <c r="S123">
        <f>AND(ISNUMBER($B123),OR($F123=Statement!$C$3,$H123=Statement!$C$3),OR(AND($B123&gt;=Statement!$C$6,$B123&lt;=Statement!$C$7),AND(ISNUMBER($Q123),$Q123&gt;=Statement!$C$6,$Q123&lt;=Statement!$C$7)))</f>
        <v/>
      </c>
      <c r="T123">
        <f>IF($S123,COUNTIF($S$2:$S123,TRUE),"")</f>
        <v/>
      </c>
      <c r="U123" s="17">
        <f>IF($F123=Statement!$C$3,$N123,0)+IF($H123=Statement!$C$3,$O123,0)</f>
        <v/>
      </c>
      <c r="V123" s="17">
        <f>IF(NOT($S123),0,IF(AND($B123&gt;=Statement!$C$6,$B123&lt;=Statement!$C$7),$U123,0)-IF(ISNUMBER($Q123),IF(AND($Q123&gt;=Statement!$C$6,$Q123&lt;=Statement!$C$7),$U123,0),0))</f>
        <v/>
      </c>
      <c r="W123" s="23">
        <f>IF($F123=Statement!$C$3,$G123,0)+IF($H123=Statement!$C$3,IF($I123="",0,$I123),0)</f>
        <v/>
      </c>
      <c r="X123">
        <f>IF(NOT($S123),"",IF(ISNUMBER($Q123),IF(AND($Q123&gt;=Statement!$C$6,$Q123&lt;=Statement!$C$7),"Clawback: credit reversed",""),"")&amp;IF(AND($B123&gt;=Statement!$C$6,$B123&lt;=Statement!$C$7,N($L123)&lt;1),"Partial credit: "&amp;TEXT($L123,"0%"),""))</f>
        <v/>
      </c>
    </row>
    <row r="124">
      <c r="A124" s="19" t="n"/>
      <c r="B124" s="20" t="n"/>
      <c r="C124" s="19" t="n"/>
      <c r="D124" s="19" t="n"/>
      <c r="E124" s="21" t="n"/>
      <c r="F124" s="19" t="n"/>
      <c r="G124" s="22" t="n"/>
      <c r="H124" s="19" t="n"/>
      <c r="I124" s="22" t="n"/>
      <c r="J124" s="20" t="n"/>
      <c r="K124" s="19" t="n"/>
      <c r="L124" s="23">
        <f>IF($E124="","",IFERROR(VLOOKUP($D124,'Plan setup'!$A$17:$B$21,2,FALSE),0))</f>
        <v/>
      </c>
      <c r="M124" s="17">
        <f>IF($E124="","",$E124*$L124)</f>
        <v/>
      </c>
      <c r="N124" s="17">
        <f>IF(OR($E124="",$F124=""),0,$M124*$G124)</f>
        <v/>
      </c>
      <c r="O124" s="17">
        <f>IF(OR($E124="",$H124=""),0,$M124*$I124)</f>
        <v/>
      </c>
      <c r="P124">
        <f>IF($J124="","",IF($J124-$B124&lt;='Plan setup'!$B$5,"Reversed","Outside window"))</f>
        <v/>
      </c>
      <c r="Q124" s="24">
        <f>IF($P124="Reversed",$J124,"")</f>
        <v/>
      </c>
      <c r="R124">
        <f>IF($E124="","",IF(ABS($G124+IF($I124="",0,$I124)-1)&gt;0.0001,"Splits must total 100%",IF(COUNTIF('Plan setup'!$A$25:$A$34,$F124)=0,"Rep 1 not in Plan setup",IF(IF($H124="",FALSE,COUNTIF('Plan setup'!$A$25:$A$34,$H124)=0),"Rep 2 not in Plan setup",IF(COUNTIF('Plan setup'!$A$17:$A$21,$D124)=0,"Unknown deal type",IF($P124="Outside window","Clawback outside window: not reversed","OK"))))))</f>
        <v/>
      </c>
      <c r="S124">
        <f>AND(ISNUMBER($B124),OR($F124=Statement!$C$3,$H124=Statement!$C$3),OR(AND($B124&gt;=Statement!$C$6,$B124&lt;=Statement!$C$7),AND(ISNUMBER($Q124),$Q124&gt;=Statement!$C$6,$Q124&lt;=Statement!$C$7)))</f>
        <v/>
      </c>
      <c r="T124">
        <f>IF($S124,COUNTIF($S$2:$S124,TRUE),"")</f>
        <v/>
      </c>
      <c r="U124" s="17">
        <f>IF($F124=Statement!$C$3,$N124,0)+IF($H124=Statement!$C$3,$O124,0)</f>
        <v/>
      </c>
      <c r="V124" s="17">
        <f>IF(NOT($S124),0,IF(AND($B124&gt;=Statement!$C$6,$B124&lt;=Statement!$C$7),$U124,0)-IF(ISNUMBER($Q124),IF(AND($Q124&gt;=Statement!$C$6,$Q124&lt;=Statement!$C$7),$U124,0),0))</f>
        <v/>
      </c>
      <c r="W124" s="23">
        <f>IF($F124=Statement!$C$3,$G124,0)+IF($H124=Statement!$C$3,IF($I124="",0,$I124),0)</f>
        <v/>
      </c>
      <c r="X124">
        <f>IF(NOT($S124),"",IF(ISNUMBER($Q124),IF(AND($Q124&gt;=Statement!$C$6,$Q124&lt;=Statement!$C$7),"Clawback: credit reversed",""),"")&amp;IF(AND($B124&gt;=Statement!$C$6,$B124&lt;=Statement!$C$7,N($L124)&lt;1),"Partial credit: "&amp;TEXT($L124,"0%"),""))</f>
        <v/>
      </c>
    </row>
    <row r="125">
      <c r="A125" s="19" t="n"/>
      <c r="B125" s="20" t="n"/>
      <c r="C125" s="19" t="n"/>
      <c r="D125" s="19" t="n"/>
      <c r="E125" s="21" t="n"/>
      <c r="F125" s="19" t="n"/>
      <c r="G125" s="22" t="n"/>
      <c r="H125" s="19" t="n"/>
      <c r="I125" s="22" t="n"/>
      <c r="J125" s="20" t="n"/>
      <c r="K125" s="19" t="n"/>
      <c r="L125" s="23">
        <f>IF($E125="","",IFERROR(VLOOKUP($D125,'Plan setup'!$A$17:$B$21,2,FALSE),0))</f>
        <v/>
      </c>
      <c r="M125" s="17">
        <f>IF($E125="","",$E125*$L125)</f>
        <v/>
      </c>
      <c r="N125" s="17">
        <f>IF(OR($E125="",$F125=""),0,$M125*$G125)</f>
        <v/>
      </c>
      <c r="O125" s="17">
        <f>IF(OR($E125="",$H125=""),0,$M125*$I125)</f>
        <v/>
      </c>
      <c r="P125">
        <f>IF($J125="","",IF($J125-$B125&lt;='Plan setup'!$B$5,"Reversed","Outside window"))</f>
        <v/>
      </c>
      <c r="Q125" s="24">
        <f>IF($P125="Reversed",$J125,"")</f>
        <v/>
      </c>
      <c r="R125">
        <f>IF($E125="","",IF(ABS($G125+IF($I125="",0,$I125)-1)&gt;0.0001,"Splits must total 100%",IF(COUNTIF('Plan setup'!$A$25:$A$34,$F125)=0,"Rep 1 not in Plan setup",IF(IF($H125="",FALSE,COUNTIF('Plan setup'!$A$25:$A$34,$H125)=0),"Rep 2 not in Plan setup",IF(COUNTIF('Plan setup'!$A$17:$A$21,$D125)=0,"Unknown deal type",IF($P125="Outside window","Clawback outside window: not reversed","OK"))))))</f>
        <v/>
      </c>
      <c r="S125">
        <f>AND(ISNUMBER($B125),OR($F125=Statement!$C$3,$H125=Statement!$C$3),OR(AND($B125&gt;=Statement!$C$6,$B125&lt;=Statement!$C$7),AND(ISNUMBER($Q125),$Q125&gt;=Statement!$C$6,$Q125&lt;=Statement!$C$7)))</f>
        <v/>
      </c>
      <c r="T125">
        <f>IF($S125,COUNTIF($S$2:$S125,TRUE),"")</f>
        <v/>
      </c>
      <c r="U125" s="17">
        <f>IF($F125=Statement!$C$3,$N125,0)+IF($H125=Statement!$C$3,$O125,0)</f>
        <v/>
      </c>
      <c r="V125" s="17">
        <f>IF(NOT($S125),0,IF(AND($B125&gt;=Statement!$C$6,$B125&lt;=Statement!$C$7),$U125,0)-IF(ISNUMBER($Q125),IF(AND($Q125&gt;=Statement!$C$6,$Q125&lt;=Statement!$C$7),$U125,0),0))</f>
        <v/>
      </c>
      <c r="W125" s="23">
        <f>IF($F125=Statement!$C$3,$G125,0)+IF($H125=Statement!$C$3,IF($I125="",0,$I125),0)</f>
        <v/>
      </c>
      <c r="X125">
        <f>IF(NOT($S125),"",IF(ISNUMBER($Q125),IF(AND($Q125&gt;=Statement!$C$6,$Q125&lt;=Statement!$C$7),"Clawback: credit reversed",""),"")&amp;IF(AND($B125&gt;=Statement!$C$6,$B125&lt;=Statement!$C$7,N($L125)&lt;1),"Partial credit: "&amp;TEXT($L125,"0%"),""))</f>
        <v/>
      </c>
    </row>
    <row r="126">
      <c r="A126" s="19" t="n"/>
      <c r="B126" s="20" t="n"/>
      <c r="C126" s="19" t="n"/>
      <c r="D126" s="19" t="n"/>
      <c r="E126" s="21" t="n"/>
      <c r="F126" s="19" t="n"/>
      <c r="G126" s="22" t="n"/>
      <c r="H126" s="19" t="n"/>
      <c r="I126" s="22" t="n"/>
      <c r="J126" s="20" t="n"/>
      <c r="K126" s="19" t="n"/>
      <c r="L126" s="23">
        <f>IF($E126="","",IFERROR(VLOOKUP($D126,'Plan setup'!$A$17:$B$21,2,FALSE),0))</f>
        <v/>
      </c>
      <c r="M126" s="17">
        <f>IF($E126="","",$E126*$L126)</f>
        <v/>
      </c>
      <c r="N126" s="17">
        <f>IF(OR($E126="",$F126=""),0,$M126*$G126)</f>
        <v/>
      </c>
      <c r="O126" s="17">
        <f>IF(OR($E126="",$H126=""),0,$M126*$I126)</f>
        <v/>
      </c>
      <c r="P126">
        <f>IF($J126="","",IF($J126-$B126&lt;='Plan setup'!$B$5,"Reversed","Outside window"))</f>
        <v/>
      </c>
      <c r="Q126" s="24">
        <f>IF($P126="Reversed",$J126,"")</f>
        <v/>
      </c>
      <c r="R126">
        <f>IF($E126="","",IF(ABS($G126+IF($I126="",0,$I126)-1)&gt;0.0001,"Splits must total 100%",IF(COUNTIF('Plan setup'!$A$25:$A$34,$F126)=0,"Rep 1 not in Plan setup",IF(IF($H126="",FALSE,COUNTIF('Plan setup'!$A$25:$A$34,$H126)=0),"Rep 2 not in Plan setup",IF(COUNTIF('Plan setup'!$A$17:$A$21,$D126)=0,"Unknown deal type",IF($P126="Outside window","Clawback outside window: not reversed","OK"))))))</f>
        <v/>
      </c>
      <c r="S126">
        <f>AND(ISNUMBER($B126),OR($F126=Statement!$C$3,$H126=Statement!$C$3),OR(AND($B126&gt;=Statement!$C$6,$B126&lt;=Statement!$C$7),AND(ISNUMBER($Q126),$Q126&gt;=Statement!$C$6,$Q126&lt;=Statement!$C$7)))</f>
        <v/>
      </c>
      <c r="T126">
        <f>IF($S126,COUNTIF($S$2:$S126,TRUE),"")</f>
        <v/>
      </c>
      <c r="U126" s="17">
        <f>IF($F126=Statement!$C$3,$N126,0)+IF($H126=Statement!$C$3,$O126,0)</f>
        <v/>
      </c>
      <c r="V126" s="17">
        <f>IF(NOT($S126),0,IF(AND($B126&gt;=Statement!$C$6,$B126&lt;=Statement!$C$7),$U126,0)-IF(ISNUMBER($Q126),IF(AND($Q126&gt;=Statement!$C$6,$Q126&lt;=Statement!$C$7),$U126,0),0))</f>
        <v/>
      </c>
      <c r="W126" s="23">
        <f>IF($F126=Statement!$C$3,$G126,0)+IF($H126=Statement!$C$3,IF($I126="",0,$I126),0)</f>
        <v/>
      </c>
      <c r="X126">
        <f>IF(NOT($S126),"",IF(ISNUMBER($Q126),IF(AND($Q126&gt;=Statement!$C$6,$Q126&lt;=Statement!$C$7),"Clawback: credit reversed",""),"")&amp;IF(AND($B126&gt;=Statement!$C$6,$B126&lt;=Statement!$C$7,N($L126)&lt;1),"Partial credit: "&amp;TEXT($L126,"0%"),""))</f>
        <v/>
      </c>
    </row>
    <row r="127">
      <c r="A127" s="19" t="n"/>
      <c r="B127" s="20" t="n"/>
      <c r="C127" s="19" t="n"/>
      <c r="D127" s="19" t="n"/>
      <c r="E127" s="21" t="n"/>
      <c r="F127" s="19" t="n"/>
      <c r="G127" s="22" t="n"/>
      <c r="H127" s="19" t="n"/>
      <c r="I127" s="22" t="n"/>
      <c r="J127" s="20" t="n"/>
      <c r="K127" s="19" t="n"/>
      <c r="L127" s="23">
        <f>IF($E127="","",IFERROR(VLOOKUP($D127,'Plan setup'!$A$17:$B$21,2,FALSE),0))</f>
        <v/>
      </c>
      <c r="M127" s="17">
        <f>IF($E127="","",$E127*$L127)</f>
        <v/>
      </c>
      <c r="N127" s="17">
        <f>IF(OR($E127="",$F127=""),0,$M127*$G127)</f>
        <v/>
      </c>
      <c r="O127" s="17">
        <f>IF(OR($E127="",$H127=""),0,$M127*$I127)</f>
        <v/>
      </c>
      <c r="P127">
        <f>IF($J127="","",IF($J127-$B127&lt;='Plan setup'!$B$5,"Reversed","Outside window"))</f>
        <v/>
      </c>
      <c r="Q127" s="24">
        <f>IF($P127="Reversed",$J127,"")</f>
        <v/>
      </c>
      <c r="R127">
        <f>IF($E127="","",IF(ABS($G127+IF($I127="",0,$I127)-1)&gt;0.0001,"Splits must total 100%",IF(COUNTIF('Plan setup'!$A$25:$A$34,$F127)=0,"Rep 1 not in Plan setup",IF(IF($H127="",FALSE,COUNTIF('Plan setup'!$A$25:$A$34,$H127)=0),"Rep 2 not in Plan setup",IF(COUNTIF('Plan setup'!$A$17:$A$21,$D127)=0,"Unknown deal type",IF($P127="Outside window","Clawback outside window: not reversed","OK"))))))</f>
        <v/>
      </c>
      <c r="S127">
        <f>AND(ISNUMBER($B127),OR($F127=Statement!$C$3,$H127=Statement!$C$3),OR(AND($B127&gt;=Statement!$C$6,$B127&lt;=Statement!$C$7),AND(ISNUMBER($Q127),$Q127&gt;=Statement!$C$6,$Q127&lt;=Statement!$C$7)))</f>
        <v/>
      </c>
      <c r="T127">
        <f>IF($S127,COUNTIF($S$2:$S127,TRUE),"")</f>
        <v/>
      </c>
      <c r="U127" s="17">
        <f>IF($F127=Statement!$C$3,$N127,0)+IF($H127=Statement!$C$3,$O127,0)</f>
        <v/>
      </c>
      <c r="V127" s="17">
        <f>IF(NOT($S127),0,IF(AND($B127&gt;=Statement!$C$6,$B127&lt;=Statement!$C$7),$U127,0)-IF(ISNUMBER($Q127),IF(AND($Q127&gt;=Statement!$C$6,$Q127&lt;=Statement!$C$7),$U127,0),0))</f>
        <v/>
      </c>
      <c r="W127" s="23">
        <f>IF($F127=Statement!$C$3,$G127,0)+IF($H127=Statement!$C$3,IF($I127="",0,$I127),0)</f>
        <v/>
      </c>
      <c r="X127">
        <f>IF(NOT($S127),"",IF(ISNUMBER($Q127),IF(AND($Q127&gt;=Statement!$C$6,$Q127&lt;=Statement!$C$7),"Clawback: credit reversed",""),"")&amp;IF(AND($B127&gt;=Statement!$C$6,$B127&lt;=Statement!$C$7,N($L127)&lt;1),"Partial credit: "&amp;TEXT($L127,"0%"),""))</f>
        <v/>
      </c>
    </row>
    <row r="128">
      <c r="A128" s="19" t="n"/>
      <c r="B128" s="20" t="n"/>
      <c r="C128" s="19" t="n"/>
      <c r="D128" s="19" t="n"/>
      <c r="E128" s="21" t="n"/>
      <c r="F128" s="19" t="n"/>
      <c r="G128" s="22" t="n"/>
      <c r="H128" s="19" t="n"/>
      <c r="I128" s="22" t="n"/>
      <c r="J128" s="20" t="n"/>
      <c r="K128" s="19" t="n"/>
      <c r="L128" s="23">
        <f>IF($E128="","",IFERROR(VLOOKUP($D128,'Plan setup'!$A$17:$B$21,2,FALSE),0))</f>
        <v/>
      </c>
      <c r="M128" s="17">
        <f>IF($E128="","",$E128*$L128)</f>
        <v/>
      </c>
      <c r="N128" s="17">
        <f>IF(OR($E128="",$F128=""),0,$M128*$G128)</f>
        <v/>
      </c>
      <c r="O128" s="17">
        <f>IF(OR($E128="",$H128=""),0,$M128*$I128)</f>
        <v/>
      </c>
      <c r="P128">
        <f>IF($J128="","",IF($J128-$B128&lt;='Plan setup'!$B$5,"Reversed","Outside window"))</f>
        <v/>
      </c>
      <c r="Q128" s="24">
        <f>IF($P128="Reversed",$J128,"")</f>
        <v/>
      </c>
      <c r="R128">
        <f>IF($E128="","",IF(ABS($G128+IF($I128="",0,$I128)-1)&gt;0.0001,"Splits must total 100%",IF(COUNTIF('Plan setup'!$A$25:$A$34,$F128)=0,"Rep 1 not in Plan setup",IF(IF($H128="",FALSE,COUNTIF('Plan setup'!$A$25:$A$34,$H128)=0),"Rep 2 not in Plan setup",IF(COUNTIF('Plan setup'!$A$17:$A$21,$D128)=0,"Unknown deal type",IF($P128="Outside window","Clawback outside window: not reversed","OK"))))))</f>
        <v/>
      </c>
      <c r="S128">
        <f>AND(ISNUMBER($B128),OR($F128=Statement!$C$3,$H128=Statement!$C$3),OR(AND($B128&gt;=Statement!$C$6,$B128&lt;=Statement!$C$7),AND(ISNUMBER($Q128),$Q128&gt;=Statement!$C$6,$Q128&lt;=Statement!$C$7)))</f>
        <v/>
      </c>
      <c r="T128">
        <f>IF($S128,COUNTIF($S$2:$S128,TRUE),"")</f>
        <v/>
      </c>
      <c r="U128" s="17">
        <f>IF($F128=Statement!$C$3,$N128,0)+IF($H128=Statement!$C$3,$O128,0)</f>
        <v/>
      </c>
      <c r="V128" s="17">
        <f>IF(NOT($S128),0,IF(AND($B128&gt;=Statement!$C$6,$B128&lt;=Statement!$C$7),$U128,0)-IF(ISNUMBER($Q128),IF(AND($Q128&gt;=Statement!$C$6,$Q128&lt;=Statement!$C$7),$U128,0),0))</f>
        <v/>
      </c>
      <c r="W128" s="23">
        <f>IF($F128=Statement!$C$3,$G128,0)+IF($H128=Statement!$C$3,IF($I128="",0,$I128),0)</f>
        <v/>
      </c>
      <c r="X128">
        <f>IF(NOT($S128),"",IF(ISNUMBER($Q128),IF(AND($Q128&gt;=Statement!$C$6,$Q128&lt;=Statement!$C$7),"Clawback: credit reversed",""),"")&amp;IF(AND($B128&gt;=Statement!$C$6,$B128&lt;=Statement!$C$7,N($L128)&lt;1),"Partial credit: "&amp;TEXT($L128,"0%"),""))</f>
        <v/>
      </c>
    </row>
    <row r="129">
      <c r="A129" s="19" t="n"/>
      <c r="B129" s="20" t="n"/>
      <c r="C129" s="19" t="n"/>
      <c r="D129" s="19" t="n"/>
      <c r="E129" s="21" t="n"/>
      <c r="F129" s="19" t="n"/>
      <c r="G129" s="22" t="n"/>
      <c r="H129" s="19" t="n"/>
      <c r="I129" s="22" t="n"/>
      <c r="J129" s="20" t="n"/>
      <c r="K129" s="19" t="n"/>
      <c r="L129" s="23">
        <f>IF($E129="","",IFERROR(VLOOKUP($D129,'Plan setup'!$A$17:$B$21,2,FALSE),0))</f>
        <v/>
      </c>
      <c r="M129" s="17">
        <f>IF($E129="","",$E129*$L129)</f>
        <v/>
      </c>
      <c r="N129" s="17">
        <f>IF(OR($E129="",$F129=""),0,$M129*$G129)</f>
        <v/>
      </c>
      <c r="O129" s="17">
        <f>IF(OR($E129="",$H129=""),0,$M129*$I129)</f>
        <v/>
      </c>
      <c r="P129">
        <f>IF($J129="","",IF($J129-$B129&lt;='Plan setup'!$B$5,"Reversed","Outside window"))</f>
        <v/>
      </c>
      <c r="Q129" s="24">
        <f>IF($P129="Reversed",$J129,"")</f>
        <v/>
      </c>
      <c r="R129">
        <f>IF($E129="","",IF(ABS($G129+IF($I129="",0,$I129)-1)&gt;0.0001,"Splits must total 100%",IF(COUNTIF('Plan setup'!$A$25:$A$34,$F129)=0,"Rep 1 not in Plan setup",IF(IF($H129="",FALSE,COUNTIF('Plan setup'!$A$25:$A$34,$H129)=0),"Rep 2 not in Plan setup",IF(COUNTIF('Plan setup'!$A$17:$A$21,$D129)=0,"Unknown deal type",IF($P129="Outside window","Clawback outside window: not reversed","OK"))))))</f>
        <v/>
      </c>
      <c r="S129">
        <f>AND(ISNUMBER($B129),OR($F129=Statement!$C$3,$H129=Statement!$C$3),OR(AND($B129&gt;=Statement!$C$6,$B129&lt;=Statement!$C$7),AND(ISNUMBER($Q129),$Q129&gt;=Statement!$C$6,$Q129&lt;=Statement!$C$7)))</f>
        <v/>
      </c>
      <c r="T129">
        <f>IF($S129,COUNTIF($S$2:$S129,TRUE),"")</f>
        <v/>
      </c>
      <c r="U129" s="17">
        <f>IF($F129=Statement!$C$3,$N129,0)+IF($H129=Statement!$C$3,$O129,0)</f>
        <v/>
      </c>
      <c r="V129" s="17">
        <f>IF(NOT($S129),0,IF(AND($B129&gt;=Statement!$C$6,$B129&lt;=Statement!$C$7),$U129,0)-IF(ISNUMBER($Q129),IF(AND($Q129&gt;=Statement!$C$6,$Q129&lt;=Statement!$C$7),$U129,0),0))</f>
        <v/>
      </c>
      <c r="W129" s="23">
        <f>IF($F129=Statement!$C$3,$G129,0)+IF($H129=Statement!$C$3,IF($I129="",0,$I129),0)</f>
        <v/>
      </c>
      <c r="X129">
        <f>IF(NOT($S129),"",IF(ISNUMBER($Q129),IF(AND($Q129&gt;=Statement!$C$6,$Q129&lt;=Statement!$C$7),"Clawback: credit reversed",""),"")&amp;IF(AND($B129&gt;=Statement!$C$6,$B129&lt;=Statement!$C$7,N($L129)&lt;1),"Partial credit: "&amp;TEXT($L129,"0%"),""))</f>
        <v/>
      </c>
    </row>
    <row r="130">
      <c r="A130" s="19" t="n"/>
      <c r="B130" s="20" t="n"/>
      <c r="C130" s="19" t="n"/>
      <c r="D130" s="19" t="n"/>
      <c r="E130" s="21" t="n"/>
      <c r="F130" s="19" t="n"/>
      <c r="G130" s="22" t="n"/>
      <c r="H130" s="19" t="n"/>
      <c r="I130" s="22" t="n"/>
      <c r="J130" s="20" t="n"/>
      <c r="K130" s="19" t="n"/>
      <c r="L130" s="23">
        <f>IF($E130="","",IFERROR(VLOOKUP($D130,'Plan setup'!$A$17:$B$21,2,FALSE),0))</f>
        <v/>
      </c>
      <c r="M130" s="17">
        <f>IF($E130="","",$E130*$L130)</f>
        <v/>
      </c>
      <c r="N130" s="17">
        <f>IF(OR($E130="",$F130=""),0,$M130*$G130)</f>
        <v/>
      </c>
      <c r="O130" s="17">
        <f>IF(OR($E130="",$H130=""),0,$M130*$I130)</f>
        <v/>
      </c>
      <c r="P130">
        <f>IF($J130="","",IF($J130-$B130&lt;='Plan setup'!$B$5,"Reversed","Outside window"))</f>
        <v/>
      </c>
      <c r="Q130" s="24">
        <f>IF($P130="Reversed",$J130,"")</f>
        <v/>
      </c>
      <c r="R130">
        <f>IF($E130="","",IF(ABS($G130+IF($I130="",0,$I130)-1)&gt;0.0001,"Splits must total 100%",IF(COUNTIF('Plan setup'!$A$25:$A$34,$F130)=0,"Rep 1 not in Plan setup",IF(IF($H130="",FALSE,COUNTIF('Plan setup'!$A$25:$A$34,$H130)=0),"Rep 2 not in Plan setup",IF(COUNTIF('Plan setup'!$A$17:$A$21,$D130)=0,"Unknown deal type",IF($P130="Outside window","Clawback outside window: not reversed","OK"))))))</f>
        <v/>
      </c>
      <c r="S130">
        <f>AND(ISNUMBER($B130),OR($F130=Statement!$C$3,$H130=Statement!$C$3),OR(AND($B130&gt;=Statement!$C$6,$B130&lt;=Statement!$C$7),AND(ISNUMBER($Q130),$Q130&gt;=Statement!$C$6,$Q130&lt;=Statement!$C$7)))</f>
        <v/>
      </c>
      <c r="T130">
        <f>IF($S130,COUNTIF($S$2:$S130,TRUE),"")</f>
        <v/>
      </c>
      <c r="U130" s="17">
        <f>IF($F130=Statement!$C$3,$N130,0)+IF($H130=Statement!$C$3,$O130,0)</f>
        <v/>
      </c>
      <c r="V130" s="17">
        <f>IF(NOT($S130),0,IF(AND($B130&gt;=Statement!$C$6,$B130&lt;=Statement!$C$7),$U130,0)-IF(ISNUMBER($Q130),IF(AND($Q130&gt;=Statement!$C$6,$Q130&lt;=Statement!$C$7),$U130,0),0))</f>
        <v/>
      </c>
      <c r="W130" s="23">
        <f>IF($F130=Statement!$C$3,$G130,0)+IF($H130=Statement!$C$3,IF($I130="",0,$I130),0)</f>
        <v/>
      </c>
      <c r="X130">
        <f>IF(NOT($S130),"",IF(ISNUMBER($Q130),IF(AND($Q130&gt;=Statement!$C$6,$Q130&lt;=Statement!$C$7),"Clawback: credit reversed",""),"")&amp;IF(AND($B130&gt;=Statement!$C$6,$B130&lt;=Statement!$C$7,N($L130)&lt;1),"Partial credit: "&amp;TEXT($L130,"0%"),""))</f>
        <v/>
      </c>
    </row>
    <row r="131">
      <c r="A131" s="19" t="n"/>
      <c r="B131" s="20" t="n"/>
      <c r="C131" s="19" t="n"/>
      <c r="D131" s="19" t="n"/>
      <c r="E131" s="21" t="n"/>
      <c r="F131" s="19" t="n"/>
      <c r="G131" s="22" t="n"/>
      <c r="H131" s="19" t="n"/>
      <c r="I131" s="22" t="n"/>
      <c r="J131" s="20" t="n"/>
      <c r="K131" s="19" t="n"/>
      <c r="L131" s="23">
        <f>IF($E131="","",IFERROR(VLOOKUP($D131,'Plan setup'!$A$17:$B$21,2,FALSE),0))</f>
        <v/>
      </c>
      <c r="M131" s="17">
        <f>IF($E131="","",$E131*$L131)</f>
        <v/>
      </c>
      <c r="N131" s="17">
        <f>IF(OR($E131="",$F131=""),0,$M131*$G131)</f>
        <v/>
      </c>
      <c r="O131" s="17">
        <f>IF(OR($E131="",$H131=""),0,$M131*$I131)</f>
        <v/>
      </c>
      <c r="P131">
        <f>IF($J131="","",IF($J131-$B131&lt;='Plan setup'!$B$5,"Reversed","Outside window"))</f>
        <v/>
      </c>
      <c r="Q131" s="24">
        <f>IF($P131="Reversed",$J131,"")</f>
        <v/>
      </c>
      <c r="R131">
        <f>IF($E131="","",IF(ABS($G131+IF($I131="",0,$I131)-1)&gt;0.0001,"Splits must total 100%",IF(COUNTIF('Plan setup'!$A$25:$A$34,$F131)=0,"Rep 1 not in Plan setup",IF(IF($H131="",FALSE,COUNTIF('Plan setup'!$A$25:$A$34,$H131)=0),"Rep 2 not in Plan setup",IF(COUNTIF('Plan setup'!$A$17:$A$21,$D131)=0,"Unknown deal type",IF($P131="Outside window","Clawback outside window: not reversed","OK"))))))</f>
        <v/>
      </c>
      <c r="S131">
        <f>AND(ISNUMBER($B131),OR($F131=Statement!$C$3,$H131=Statement!$C$3),OR(AND($B131&gt;=Statement!$C$6,$B131&lt;=Statement!$C$7),AND(ISNUMBER($Q131),$Q131&gt;=Statement!$C$6,$Q131&lt;=Statement!$C$7)))</f>
        <v/>
      </c>
      <c r="T131">
        <f>IF($S131,COUNTIF($S$2:$S131,TRUE),"")</f>
        <v/>
      </c>
      <c r="U131" s="17">
        <f>IF($F131=Statement!$C$3,$N131,0)+IF($H131=Statement!$C$3,$O131,0)</f>
        <v/>
      </c>
      <c r="V131" s="17">
        <f>IF(NOT($S131),0,IF(AND($B131&gt;=Statement!$C$6,$B131&lt;=Statement!$C$7),$U131,0)-IF(ISNUMBER($Q131),IF(AND($Q131&gt;=Statement!$C$6,$Q131&lt;=Statement!$C$7),$U131,0),0))</f>
        <v/>
      </c>
      <c r="W131" s="23">
        <f>IF($F131=Statement!$C$3,$G131,0)+IF($H131=Statement!$C$3,IF($I131="",0,$I131),0)</f>
        <v/>
      </c>
      <c r="X131">
        <f>IF(NOT($S131),"",IF(ISNUMBER($Q131),IF(AND($Q131&gt;=Statement!$C$6,$Q131&lt;=Statement!$C$7),"Clawback: credit reversed",""),"")&amp;IF(AND($B131&gt;=Statement!$C$6,$B131&lt;=Statement!$C$7,N($L131)&lt;1),"Partial credit: "&amp;TEXT($L131,"0%"),""))</f>
        <v/>
      </c>
    </row>
    <row r="132">
      <c r="A132" s="19" t="n"/>
      <c r="B132" s="20" t="n"/>
      <c r="C132" s="19" t="n"/>
      <c r="D132" s="19" t="n"/>
      <c r="E132" s="21" t="n"/>
      <c r="F132" s="19" t="n"/>
      <c r="G132" s="22" t="n"/>
      <c r="H132" s="19" t="n"/>
      <c r="I132" s="22" t="n"/>
      <c r="J132" s="20" t="n"/>
      <c r="K132" s="19" t="n"/>
      <c r="L132" s="23">
        <f>IF($E132="","",IFERROR(VLOOKUP($D132,'Plan setup'!$A$17:$B$21,2,FALSE),0))</f>
        <v/>
      </c>
      <c r="M132" s="17">
        <f>IF($E132="","",$E132*$L132)</f>
        <v/>
      </c>
      <c r="N132" s="17">
        <f>IF(OR($E132="",$F132=""),0,$M132*$G132)</f>
        <v/>
      </c>
      <c r="O132" s="17">
        <f>IF(OR($E132="",$H132=""),0,$M132*$I132)</f>
        <v/>
      </c>
      <c r="P132">
        <f>IF($J132="","",IF($J132-$B132&lt;='Plan setup'!$B$5,"Reversed","Outside window"))</f>
        <v/>
      </c>
      <c r="Q132" s="24">
        <f>IF($P132="Reversed",$J132,"")</f>
        <v/>
      </c>
      <c r="R132">
        <f>IF($E132="","",IF(ABS($G132+IF($I132="",0,$I132)-1)&gt;0.0001,"Splits must total 100%",IF(COUNTIF('Plan setup'!$A$25:$A$34,$F132)=0,"Rep 1 not in Plan setup",IF(IF($H132="",FALSE,COUNTIF('Plan setup'!$A$25:$A$34,$H132)=0),"Rep 2 not in Plan setup",IF(COUNTIF('Plan setup'!$A$17:$A$21,$D132)=0,"Unknown deal type",IF($P132="Outside window","Clawback outside window: not reversed","OK"))))))</f>
        <v/>
      </c>
      <c r="S132">
        <f>AND(ISNUMBER($B132),OR($F132=Statement!$C$3,$H132=Statement!$C$3),OR(AND($B132&gt;=Statement!$C$6,$B132&lt;=Statement!$C$7),AND(ISNUMBER($Q132),$Q132&gt;=Statement!$C$6,$Q132&lt;=Statement!$C$7)))</f>
        <v/>
      </c>
      <c r="T132">
        <f>IF($S132,COUNTIF($S$2:$S132,TRUE),"")</f>
        <v/>
      </c>
      <c r="U132" s="17">
        <f>IF($F132=Statement!$C$3,$N132,0)+IF($H132=Statement!$C$3,$O132,0)</f>
        <v/>
      </c>
      <c r="V132" s="17">
        <f>IF(NOT($S132),0,IF(AND($B132&gt;=Statement!$C$6,$B132&lt;=Statement!$C$7),$U132,0)-IF(ISNUMBER($Q132),IF(AND($Q132&gt;=Statement!$C$6,$Q132&lt;=Statement!$C$7),$U132,0),0))</f>
        <v/>
      </c>
      <c r="W132" s="23">
        <f>IF($F132=Statement!$C$3,$G132,0)+IF($H132=Statement!$C$3,IF($I132="",0,$I132),0)</f>
        <v/>
      </c>
      <c r="X132">
        <f>IF(NOT($S132),"",IF(ISNUMBER($Q132),IF(AND($Q132&gt;=Statement!$C$6,$Q132&lt;=Statement!$C$7),"Clawback: credit reversed",""),"")&amp;IF(AND($B132&gt;=Statement!$C$6,$B132&lt;=Statement!$C$7,N($L132)&lt;1),"Partial credit: "&amp;TEXT($L132,"0%"),""))</f>
        <v/>
      </c>
    </row>
    <row r="133">
      <c r="A133" s="19" t="n"/>
      <c r="B133" s="20" t="n"/>
      <c r="C133" s="19" t="n"/>
      <c r="D133" s="19" t="n"/>
      <c r="E133" s="21" t="n"/>
      <c r="F133" s="19" t="n"/>
      <c r="G133" s="22" t="n"/>
      <c r="H133" s="19" t="n"/>
      <c r="I133" s="22" t="n"/>
      <c r="J133" s="20" t="n"/>
      <c r="K133" s="19" t="n"/>
      <c r="L133" s="23">
        <f>IF($E133="","",IFERROR(VLOOKUP($D133,'Plan setup'!$A$17:$B$21,2,FALSE),0))</f>
        <v/>
      </c>
      <c r="M133" s="17">
        <f>IF($E133="","",$E133*$L133)</f>
        <v/>
      </c>
      <c r="N133" s="17">
        <f>IF(OR($E133="",$F133=""),0,$M133*$G133)</f>
        <v/>
      </c>
      <c r="O133" s="17">
        <f>IF(OR($E133="",$H133=""),0,$M133*$I133)</f>
        <v/>
      </c>
      <c r="P133">
        <f>IF($J133="","",IF($J133-$B133&lt;='Plan setup'!$B$5,"Reversed","Outside window"))</f>
        <v/>
      </c>
      <c r="Q133" s="24">
        <f>IF($P133="Reversed",$J133,"")</f>
        <v/>
      </c>
      <c r="R133">
        <f>IF($E133="","",IF(ABS($G133+IF($I133="",0,$I133)-1)&gt;0.0001,"Splits must total 100%",IF(COUNTIF('Plan setup'!$A$25:$A$34,$F133)=0,"Rep 1 not in Plan setup",IF(IF($H133="",FALSE,COUNTIF('Plan setup'!$A$25:$A$34,$H133)=0),"Rep 2 not in Plan setup",IF(COUNTIF('Plan setup'!$A$17:$A$21,$D133)=0,"Unknown deal type",IF($P133="Outside window","Clawback outside window: not reversed","OK"))))))</f>
        <v/>
      </c>
      <c r="S133">
        <f>AND(ISNUMBER($B133),OR($F133=Statement!$C$3,$H133=Statement!$C$3),OR(AND($B133&gt;=Statement!$C$6,$B133&lt;=Statement!$C$7),AND(ISNUMBER($Q133),$Q133&gt;=Statement!$C$6,$Q133&lt;=Statement!$C$7)))</f>
        <v/>
      </c>
      <c r="T133">
        <f>IF($S133,COUNTIF($S$2:$S133,TRUE),"")</f>
        <v/>
      </c>
      <c r="U133" s="17">
        <f>IF($F133=Statement!$C$3,$N133,0)+IF($H133=Statement!$C$3,$O133,0)</f>
        <v/>
      </c>
      <c r="V133" s="17">
        <f>IF(NOT($S133),0,IF(AND($B133&gt;=Statement!$C$6,$B133&lt;=Statement!$C$7),$U133,0)-IF(ISNUMBER($Q133),IF(AND($Q133&gt;=Statement!$C$6,$Q133&lt;=Statement!$C$7),$U133,0),0))</f>
        <v/>
      </c>
      <c r="W133" s="23">
        <f>IF($F133=Statement!$C$3,$G133,0)+IF($H133=Statement!$C$3,IF($I133="",0,$I133),0)</f>
        <v/>
      </c>
      <c r="X133">
        <f>IF(NOT($S133),"",IF(ISNUMBER($Q133),IF(AND($Q133&gt;=Statement!$C$6,$Q133&lt;=Statement!$C$7),"Clawback: credit reversed",""),"")&amp;IF(AND($B133&gt;=Statement!$C$6,$B133&lt;=Statement!$C$7,N($L133)&lt;1),"Partial credit: "&amp;TEXT($L133,"0%"),""))</f>
        <v/>
      </c>
    </row>
    <row r="134">
      <c r="A134" s="19" t="n"/>
      <c r="B134" s="20" t="n"/>
      <c r="C134" s="19" t="n"/>
      <c r="D134" s="19" t="n"/>
      <c r="E134" s="21" t="n"/>
      <c r="F134" s="19" t="n"/>
      <c r="G134" s="22" t="n"/>
      <c r="H134" s="19" t="n"/>
      <c r="I134" s="22" t="n"/>
      <c r="J134" s="20" t="n"/>
      <c r="K134" s="19" t="n"/>
      <c r="L134" s="23">
        <f>IF($E134="","",IFERROR(VLOOKUP($D134,'Plan setup'!$A$17:$B$21,2,FALSE),0))</f>
        <v/>
      </c>
      <c r="M134" s="17">
        <f>IF($E134="","",$E134*$L134)</f>
        <v/>
      </c>
      <c r="N134" s="17">
        <f>IF(OR($E134="",$F134=""),0,$M134*$G134)</f>
        <v/>
      </c>
      <c r="O134" s="17">
        <f>IF(OR($E134="",$H134=""),0,$M134*$I134)</f>
        <v/>
      </c>
      <c r="P134">
        <f>IF($J134="","",IF($J134-$B134&lt;='Plan setup'!$B$5,"Reversed","Outside window"))</f>
        <v/>
      </c>
      <c r="Q134" s="24">
        <f>IF($P134="Reversed",$J134,"")</f>
        <v/>
      </c>
      <c r="R134">
        <f>IF($E134="","",IF(ABS($G134+IF($I134="",0,$I134)-1)&gt;0.0001,"Splits must total 100%",IF(COUNTIF('Plan setup'!$A$25:$A$34,$F134)=0,"Rep 1 not in Plan setup",IF(IF($H134="",FALSE,COUNTIF('Plan setup'!$A$25:$A$34,$H134)=0),"Rep 2 not in Plan setup",IF(COUNTIF('Plan setup'!$A$17:$A$21,$D134)=0,"Unknown deal type",IF($P134="Outside window","Clawback outside window: not reversed","OK"))))))</f>
        <v/>
      </c>
      <c r="S134">
        <f>AND(ISNUMBER($B134),OR($F134=Statement!$C$3,$H134=Statement!$C$3),OR(AND($B134&gt;=Statement!$C$6,$B134&lt;=Statement!$C$7),AND(ISNUMBER($Q134),$Q134&gt;=Statement!$C$6,$Q134&lt;=Statement!$C$7)))</f>
        <v/>
      </c>
      <c r="T134">
        <f>IF($S134,COUNTIF($S$2:$S134,TRUE),"")</f>
        <v/>
      </c>
      <c r="U134" s="17">
        <f>IF($F134=Statement!$C$3,$N134,0)+IF($H134=Statement!$C$3,$O134,0)</f>
        <v/>
      </c>
      <c r="V134" s="17">
        <f>IF(NOT($S134),0,IF(AND($B134&gt;=Statement!$C$6,$B134&lt;=Statement!$C$7),$U134,0)-IF(ISNUMBER($Q134),IF(AND($Q134&gt;=Statement!$C$6,$Q134&lt;=Statement!$C$7),$U134,0),0))</f>
        <v/>
      </c>
      <c r="W134" s="23">
        <f>IF($F134=Statement!$C$3,$G134,0)+IF($H134=Statement!$C$3,IF($I134="",0,$I134),0)</f>
        <v/>
      </c>
      <c r="X134">
        <f>IF(NOT($S134),"",IF(ISNUMBER($Q134),IF(AND($Q134&gt;=Statement!$C$6,$Q134&lt;=Statement!$C$7),"Clawback: credit reversed",""),"")&amp;IF(AND($B134&gt;=Statement!$C$6,$B134&lt;=Statement!$C$7,N($L134)&lt;1),"Partial credit: "&amp;TEXT($L134,"0%"),""))</f>
        <v/>
      </c>
    </row>
    <row r="135">
      <c r="A135" s="19" t="n"/>
      <c r="B135" s="20" t="n"/>
      <c r="C135" s="19" t="n"/>
      <c r="D135" s="19" t="n"/>
      <c r="E135" s="21" t="n"/>
      <c r="F135" s="19" t="n"/>
      <c r="G135" s="22" t="n"/>
      <c r="H135" s="19" t="n"/>
      <c r="I135" s="22" t="n"/>
      <c r="J135" s="20" t="n"/>
      <c r="K135" s="19" t="n"/>
      <c r="L135" s="23">
        <f>IF($E135="","",IFERROR(VLOOKUP($D135,'Plan setup'!$A$17:$B$21,2,FALSE),0))</f>
        <v/>
      </c>
      <c r="M135" s="17">
        <f>IF($E135="","",$E135*$L135)</f>
        <v/>
      </c>
      <c r="N135" s="17">
        <f>IF(OR($E135="",$F135=""),0,$M135*$G135)</f>
        <v/>
      </c>
      <c r="O135" s="17">
        <f>IF(OR($E135="",$H135=""),0,$M135*$I135)</f>
        <v/>
      </c>
      <c r="P135">
        <f>IF($J135="","",IF($J135-$B135&lt;='Plan setup'!$B$5,"Reversed","Outside window"))</f>
        <v/>
      </c>
      <c r="Q135" s="24">
        <f>IF($P135="Reversed",$J135,"")</f>
        <v/>
      </c>
      <c r="R135">
        <f>IF($E135="","",IF(ABS($G135+IF($I135="",0,$I135)-1)&gt;0.0001,"Splits must total 100%",IF(COUNTIF('Plan setup'!$A$25:$A$34,$F135)=0,"Rep 1 not in Plan setup",IF(IF($H135="",FALSE,COUNTIF('Plan setup'!$A$25:$A$34,$H135)=0),"Rep 2 not in Plan setup",IF(COUNTIF('Plan setup'!$A$17:$A$21,$D135)=0,"Unknown deal type",IF($P135="Outside window","Clawback outside window: not reversed","OK"))))))</f>
        <v/>
      </c>
      <c r="S135">
        <f>AND(ISNUMBER($B135),OR($F135=Statement!$C$3,$H135=Statement!$C$3),OR(AND($B135&gt;=Statement!$C$6,$B135&lt;=Statement!$C$7),AND(ISNUMBER($Q135),$Q135&gt;=Statement!$C$6,$Q135&lt;=Statement!$C$7)))</f>
        <v/>
      </c>
      <c r="T135">
        <f>IF($S135,COUNTIF($S$2:$S135,TRUE),"")</f>
        <v/>
      </c>
      <c r="U135" s="17">
        <f>IF($F135=Statement!$C$3,$N135,0)+IF($H135=Statement!$C$3,$O135,0)</f>
        <v/>
      </c>
      <c r="V135" s="17">
        <f>IF(NOT($S135),0,IF(AND($B135&gt;=Statement!$C$6,$B135&lt;=Statement!$C$7),$U135,0)-IF(ISNUMBER($Q135),IF(AND($Q135&gt;=Statement!$C$6,$Q135&lt;=Statement!$C$7),$U135,0),0))</f>
        <v/>
      </c>
      <c r="W135" s="23">
        <f>IF($F135=Statement!$C$3,$G135,0)+IF($H135=Statement!$C$3,IF($I135="",0,$I135),0)</f>
        <v/>
      </c>
      <c r="X135">
        <f>IF(NOT($S135),"",IF(ISNUMBER($Q135),IF(AND($Q135&gt;=Statement!$C$6,$Q135&lt;=Statement!$C$7),"Clawback: credit reversed",""),"")&amp;IF(AND($B135&gt;=Statement!$C$6,$B135&lt;=Statement!$C$7,N($L135)&lt;1),"Partial credit: "&amp;TEXT($L135,"0%"),""))</f>
        <v/>
      </c>
    </row>
    <row r="136">
      <c r="A136" s="19" t="n"/>
      <c r="B136" s="20" t="n"/>
      <c r="C136" s="19" t="n"/>
      <c r="D136" s="19" t="n"/>
      <c r="E136" s="21" t="n"/>
      <c r="F136" s="19" t="n"/>
      <c r="G136" s="22" t="n"/>
      <c r="H136" s="19" t="n"/>
      <c r="I136" s="22" t="n"/>
      <c r="J136" s="20" t="n"/>
      <c r="K136" s="19" t="n"/>
      <c r="L136" s="23">
        <f>IF($E136="","",IFERROR(VLOOKUP($D136,'Plan setup'!$A$17:$B$21,2,FALSE),0))</f>
        <v/>
      </c>
      <c r="M136" s="17">
        <f>IF($E136="","",$E136*$L136)</f>
        <v/>
      </c>
      <c r="N136" s="17">
        <f>IF(OR($E136="",$F136=""),0,$M136*$G136)</f>
        <v/>
      </c>
      <c r="O136" s="17">
        <f>IF(OR($E136="",$H136=""),0,$M136*$I136)</f>
        <v/>
      </c>
      <c r="P136">
        <f>IF($J136="","",IF($J136-$B136&lt;='Plan setup'!$B$5,"Reversed","Outside window"))</f>
        <v/>
      </c>
      <c r="Q136" s="24">
        <f>IF($P136="Reversed",$J136,"")</f>
        <v/>
      </c>
      <c r="R136">
        <f>IF($E136="","",IF(ABS($G136+IF($I136="",0,$I136)-1)&gt;0.0001,"Splits must total 100%",IF(COUNTIF('Plan setup'!$A$25:$A$34,$F136)=0,"Rep 1 not in Plan setup",IF(IF($H136="",FALSE,COUNTIF('Plan setup'!$A$25:$A$34,$H136)=0),"Rep 2 not in Plan setup",IF(COUNTIF('Plan setup'!$A$17:$A$21,$D136)=0,"Unknown deal type",IF($P136="Outside window","Clawback outside window: not reversed","OK"))))))</f>
        <v/>
      </c>
      <c r="S136">
        <f>AND(ISNUMBER($B136),OR($F136=Statement!$C$3,$H136=Statement!$C$3),OR(AND($B136&gt;=Statement!$C$6,$B136&lt;=Statement!$C$7),AND(ISNUMBER($Q136),$Q136&gt;=Statement!$C$6,$Q136&lt;=Statement!$C$7)))</f>
        <v/>
      </c>
      <c r="T136">
        <f>IF($S136,COUNTIF($S$2:$S136,TRUE),"")</f>
        <v/>
      </c>
      <c r="U136" s="17">
        <f>IF($F136=Statement!$C$3,$N136,0)+IF($H136=Statement!$C$3,$O136,0)</f>
        <v/>
      </c>
      <c r="V136" s="17">
        <f>IF(NOT($S136),0,IF(AND($B136&gt;=Statement!$C$6,$B136&lt;=Statement!$C$7),$U136,0)-IF(ISNUMBER($Q136),IF(AND($Q136&gt;=Statement!$C$6,$Q136&lt;=Statement!$C$7),$U136,0),0))</f>
        <v/>
      </c>
      <c r="W136" s="23">
        <f>IF($F136=Statement!$C$3,$G136,0)+IF($H136=Statement!$C$3,IF($I136="",0,$I136),0)</f>
        <v/>
      </c>
      <c r="X136">
        <f>IF(NOT($S136),"",IF(ISNUMBER($Q136),IF(AND($Q136&gt;=Statement!$C$6,$Q136&lt;=Statement!$C$7),"Clawback: credit reversed",""),"")&amp;IF(AND($B136&gt;=Statement!$C$6,$B136&lt;=Statement!$C$7,N($L136)&lt;1),"Partial credit: "&amp;TEXT($L136,"0%"),""))</f>
        <v/>
      </c>
    </row>
    <row r="137">
      <c r="A137" s="19" t="n"/>
      <c r="B137" s="20" t="n"/>
      <c r="C137" s="19" t="n"/>
      <c r="D137" s="19" t="n"/>
      <c r="E137" s="21" t="n"/>
      <c r="F137" s="19" t="n"/>
      <c r="G137" s="22" t="n"/>
      <c r="H137" s="19" t="n"/>
      <c r="I137" s="22" t="n"/>
      <c r="J137" s="20" t="n"/>
      <c r="K137" s="19" t="n"/>
      <c r="L137" s="23">
        <f>IF($E137="","",IFERROR(VLOOKUP($D137,'Plan setup'!$A$17:$B$21,2,FALSE),0))</f>
        <v/>
      </c>
      <c r="M137" s="17">
        <f>IF($E137="","",$E137*$L137)</f>
        <v/>
      </c>
      <c r="N137" s="17">
        <f>IF(OR($E137="",$F137=""),0,$M137*$G137)</f>
        <v/>
      </c>
      <c r="O137" s="17">
        <f>IF(OR($E137="",$H137=""),0,$M137*$I137)</f>
        <v/>
      </c>
      <c r="P137">
        <f>IF($J137="","",IF($J137-$B137&lt;='Plan setup'!$B$5,"Reversed","Outside window"))</f>
        <v/>
      </c>
      <c r="Q137" s="24">
        <f>IF($P137="Reversed",$J137,"")</f>
        <v/>
      </c>
      <c r="R137">
        <f>IF($E137="","",IF(ABS($G137+IF($I137="",0,$I137)-1)&gt;0.0001,"Splits must total 100%",IF(COUNTIF('Plan setup'!$A$25:$A$34,$F137)=0,"Rep 1 not in Plan setup",IF(IF($H137="",FALSE,COUNTIF('Plan setup'!$A$25:$A$34,$H137)=0),"Rep 2 not in Plan setup",IF(COUNTIF('Plan setup'!$A$17:$A$21,$D137)=0,"Unknown deal type",IF($P137="Outside window","Clawback outside window: not reversed","OK"))))))</f>
        <v/>
      </c>
      <c r="S137">
        <f>AND(ISNUMBER($B137),OR($F137=Statement!$C$3,$H137=Statement!$C$3),OR(AND($B137&gt;=Statement!$C$6,$B137&lt;=Statement!$C$7),AND(ISNUMBER($Q137),$Q137&gt;=Statement!$C$6,$Q137&lt;=Statement!$C$7)))</f>
        <v/>
      </c>
      <c r="T137">
        <f>IF($S137,COUNTIF($S$2:$S137,TRUE),"")</f>
        <v/>
      </c>
      <c r="U137" s="17">
        <f>IF($F137=Statement!$C$3,$N137,0)+IF($H137=Statement!$C$3,$O137,0)</f>
        <v/>
      </c>
      <c r="V137" s="17">
        <f>IF(NOT($S137),0,IF(AND($B137&gt;=Statement!$C$6,$B137&lt;=Statement!$C$7),$U137,0)-IF(ISNUMBER($Q137),IF(AND($Q137&gt;=Statement!$C$6,$Q137&lt;=Statement!$C$7),$U137,0),0))</f>
        <v/>
      </c>
      <c r="W137" s="23">
        <f>IF($F137=Statement!$C$3,$G137,0)+IF($H137=Statement!$C$3,IF($I137="",0,$I137),0)</f>
        <v/>
      </c>
      <c r="X137">
        <f>IF(NOT($S137),"",IF(ISNUMBER($Q137),IF(AND($Q137&gt;=Statement!$C$6,$Q137&lt;=Statement!$C$7),"Clawback: credit reversed",""),"")&amp;IF(AND($B137&gt;=Statement!$C$6,$B137&lt;=Statement!$C$7,N($L137)&lt;1),"Partial credit: "&amp;TEXT($L137,"0%"),""))</f>
        <v/>
      </c>
    </row>
    <row r="138">
      <c r="A138" s="19" t="n"/>
      <c r="B138" s="20" t="n"/>
      <c r="C138" s="19" t="n"/>
      <c r="D138" s="19" t="n"/>
      <c r="E138" s="21" t="n"/>
      <c r="F138" s="19" t="n"/>
      <c r="G138" s="22" t="n"/>
      <c r="H138" s="19" t="n"/>
      <c r="I138" s="22" t="n"/>
      <c r="J138" s="20" t="n"/>
      <c r="K138" s="19" t="n"/>
      <c r="L138" s="23">
        <f>IF($E138="","",IFERROR(VLOOKUP($D138,'Plan setup'!$A$17:$B$21,2,FALSE),0))</f>
        <v/>
      </c>
      <c r="M138" s="17">
        <f>IF($E138="","",$E138*$L138)</f>
        <v/>
      </c>
      <c r="N138" s="17">
        <f>IF(OR($E138="",$F138=""),0,$M138*$G138)</f>
        <v/>
      </c>
      <c r="O138" s="17">
        <f>IF(OR($E138="",$H138=""),0,$M138*$I138)</f>
        <v/>
      </c>
      <c r="P138">
        <f>IF($J138="","",IF($J138-$B138&lt;='Plan setup'!$B$5,"Reversed","Outside window"))</f>
        <v/>
      </c>
      <c r="Q138" s="24">
        <f>IF($P138="Reversed",$J138,"")</f>
        <v/>
      </c>
      <c r="R138">
        <f>IF($E138="","",IF(ABS($G138+IF($I138="",0,$I138)-1)&gt;0.0001,"Splits must total 100%",IF(COUNTIF('Plan setup'!$A$25:$A$34,$F138)=0,"Rep 1 not in Plan setup",IF(IF($H138="",FALSE,COUNTIF('Plan setup'!$A$25:$A$34,$H138)=0),"Rep 2 not in Plan setup",IF(COUNTIF('Plan setup'!$A$17:$A$21,$D138)=0,"Unknown deal type",IF($P138="Outside window","Clawback outside window: not reversed","OK"))))))</f>
        <v/>
      </c>
      <c r="S138">
        <f>AND(ISNUMBER($B138),OR($F138=Statement!$C$3,$H138=Statement!$C$3),OR(AND($B138&gt;=Statement!$C$6,$B138&lt;=Statement!$C$7),AND(ISNUMBER($Q138),$Q138&gt;=Statement!$C$6,$Q138&lt;=Statement!$C$7)))</f>
        <v/>
      </c>
      <c r="T138">
        <f>IF($S138,COUNTIF($S$2:$S138,TRUE),"")</f>
        <v/>
      </c>
      <c r="U138" s="17">
        <f>IF($F138=Statement!$C$3,$N138,0)+IF($H138=Statement!$C$3,$O138,0)</f>
        <v/>
      </c>
      <c r="V138" s="17">
        <f>IF(NOT($S138),0,IF(AND($B138&gt;=Statement!$C$6,$B138&lt;=Statement!$C$7),$U138,0)-IF(ISNUMBER($Q138),IF(AND($Q138&gt;=Statement!$C$6,$Q138&lt;=Statement!$C$7),$U138,0),0))</f>
        <v/>
      </c>
      <c r="W138" s="23">
        <f>IF($F138=Statement!$C$3,$G138,0)+IF($H138=Statement!$C$3,IF($I138="",0,$I138),0)</f>
        <v/>
      </c>
      <c r="X138">
        <f>IF(NOT($S138),"",IF(ISNUMBER($Q138),IF(AND($Q138&gt;=Statement!$C$6,$Q138&lt;=Statement!$C$7),"Clawback: credit reversed",""),"")&amp;IF(AND($B138&gt;=Statement!$C$6,$B138&lt;=Statement!$C$7,N($L138)&lt;1),"Partial credit: "&amp;TEXT($L138,"0%"),""))</f>
        <v/>
      </c>
    </row>
    <row r="139">
      <c r="A139" s="19" t="n"/>
      <c r="B139" s="20" t="n"/>
      <c r="C139" s="19" t="n"/>
      <c r="D139" s="19" t="n"/>
      <c r="E139" s="21" t="n"/>
      <c r="F139" s="19" t="n"/>
      <c r="G139" s="22" t="n"/>
      <c r="H139" s="19" t="n"/>
      <c r="I139" s="22" t="n"/>
      <c r="J139" s="20" t="n"/>
      <c r="K139" s="19" t="n"/>
      <c r="L139" s="23">
        <f>IF($E139="","",IFERROR(VLOOKUP($D139,'Plan setup'!$A$17:$B$21,2,FALSE),0))</f>
        <v/>
      </c>
      <c r="M139" s="17">
        <f>IF($E139="","",$E139*$L139)</f>
        <v/>
      </c>
      <c r="N139" s="17">
        <f>IF(OR($E139="",$F139=""),0,$M139*$G139)</f>
        <v/>
      </c>
      <c r="O139" s="17">
        <f>IF(OR($E139="",$H139=""),0,$M139*$I139)</f>
        <v/>
      </c>
      <c r="P139">
        <f>IF($J139="","",IF($J139-$B139&lt;='Plan setup'!$B$5,"Reversed","Outside window"))</f>
        <v/>
      </c>
      <c r="Q139" s="24">
        <f>IF($P139="Reversed",$J139,"")</f>
        <v/>
      </c>
      <c r="R139">
        <f>IF($E139="","",IF(ABS($G139+IF($I139="",0,$I139)-1)&gt;0.0001,"Splits must total 100%",IF(COUNTIF('Plan setup'!$A$25:$A$34,$F139)=0,"Rep 1 not in Plan setup",IF(IF($H139="",FALSE,COUNTIF('Plan setup'!$A$25:$A$34,$H139)=0),"Rep 2 not in Plan setup",IF(COUNTIF('Plan setup'!$A$17:$A$21,$D139)=0,"Unknown deal type",IF($P139="Outside window","Clawback outside window: not reversed","OK"))))))</f>
        <v/>
      </c>
      <c r="S139">
        <f>AND(ISNUMBER($B139),OR($F139=Statement!$C$3,$H139=Statement!$C$3),OR(AND($B139&gt;=Statement!$C$6,$B139&lt;=Statement!$C$7),AND(ISNUMBER($Q139),$Q139&gt;=Statement!$C$6,$Q139&lt;=Statement!$C$7)))</f>
        <v/>
      </c>
      <c r="T139">
        <f>IF($S139,COUNTIF($S$2:$S139,TRUE),"")</f>
        <v/>
      </c>
      <c r="U139" s="17">
        <f>IF($F139=Statement!$C$3,$N139,0)+IF($H139=Statement!$C$3,$O139,0)</f>
        <v/>
      </c>
      <c r="V139" s="17">
        <f>IF(NOT($S139),0,IF(AND($B139&gt;=Statement!$C$6,$B139&lt;=Statement!$C$7),$U139,0)-IF(ISNUMBER($Q139),IF(AND($Q139&gt;=Statement!$C$6,$Q139&lt;=Statement!$C$7),$U139,0),0))</f>
        <v/>
      </c>
      <c r="W139" s="23">
        <f>IF($F139=Statement!$C$3,$G139,0)+IF($H139=Statement!$C$3,IF($I139="",0,$I139),0)</f>
        <v/>
      </c>
      <c r="X139">
        <f>IF(NOT($S139),"",IF(ISNUMBER($Q139),IF(AND($Q139&gt;=Statement!$C$6,$Q139&lt;=Statement!$C$7),"Clawback: credit reversed",""),"")&amp;IF(AND($B139&gt;=Statement!$C$6,$B139&lt;=Statement!$C$7,N($L139)&lt;1),"Partial credit: "&amp;TEXT($L139,"0%"),""))</f>
        <v/>
      </c>
    </row>
    <row r="140">
      <c r="A140" s="19" t="n"/>
      <c r="B140" s="20" t="n"/>
      <c r="C140" s="19" t="n"/>
      <c r="D140" s="19" t="n"/>
      <c r="E140" s="21" t="n"/>
      <c r="F140" s="19" t="n"/>
      <c r="G140" s="22" t="n"/>
      <c r="H140" s="19" t="n"/>
      <c r="I140" s="22" t="n"/>
      <c r="J140" s="20" t="n"/>
      <c r="K140" s="19" t="n"/>
      <c r="L140" s="23">
        <f>IF($E140="","",IFERROR(VLOOKUP($D140,'Plan setup'!$A$17:$B$21,2,FALSE),0))</f>
        <v/>
      </c>
      <c r="M140" s="17">
        <f>IF($E140="","",$E140*$L140)</f>
        <v/>
      </c>
      <c r="N140" s="17">
        <f>IF(OR($E140="",$F140=""),0,$M140*$G140)</f>
        <v/>
      </c>
      <c r="O140" s="17">
        <f>IF(OR($E140="",$H140=""),0,$M140*$I140)</f>
        <v/>
      </c>
      <c r="P140">
        <f>IF($J140="","",IF($J140-$B140&lt;='Plan setup'!$B$5,"Reversed","Outside window"))</f>
        <v/>
      </c>
      <c r="Q140" s="24">
        <f>IF($P140="Reversed",$J140,"")</f>
        <v/>
      </c>
      <c r="R140">
        <f>IF($E140="","",IF(ABS($G140+IF($I140="",0,$I140)-1)&gt;0.0001,"Splits must total 100%",IF(COUNTIF('Plan setup'!$A$25:$A$34,$F140)=0,"Rep 1 not in Plan setup",IF(IF($H140="",FALSE,COUNTIF('Plan setup'!$A$25:$A$34,$H140)=0),"Rep 2 not in Plan setup",IF(COUNTIF('Plan setup'!$A$17:$A$21,$D140)=0,"Unknown deal type",IF($P140="Outside window","Clawback outside window: not reversed","OK"))))))</f>
        <v/>
      </c>
      <c r="S140">
        <f>AND(ISNUMBER($B140),OR($F140=Statement!$C$3,$H140=Statement!$C$3),OR(AND($B140&gt;=Statement!$C$6,$B140&lt;=Statement!$C$7),AND(ISNUMBER($Q140),$Q140&gt;=Statement!$C$6,$Q140&lt;=Statement!$C$7)))</f>
        <v/>
      </c>
      <c r="T140">
        <f>IF($S140,COUNTIF($S$2:$S140,TRUE),"")</f>
        <v/>
      </c>
      <c r="U140" s="17">
        <f>IF($F140=Statement!$C$3,$N140,0)+IF($H140=Statement!$C$3,$O140,0)</f>
        <v/>
      </c>
      <c r="V140" s="17">
        <f>IF(NOT($S140),0,IF(AND($B140&gt;=Statement!$C$6,$B140&lt;=Statement!$C$7),$U140,0)-IF(ISNUMBER($Q140),IF(AND($Q140&gt;=Statement!$C$6,$Q140&lt;=Statement!$C$7),$U140,0),0))</f>
        <v/>
      </c>
      <c r="W140" s="23">
        <f>IF($F140=Statement!$C$3,$G140,0)+IF($H140=Statement!$C$3,IF($I140="",0,$I140),0)</f>
        <v/>
      </c>
      <c r="X140">
        <f>IF(NOT($S140),"",IF(ISNUMBER($Q140),IF(AND($Q140&gt;=Statement!$C$6,$Q140&lt;=Statement!$C$7),"Clawback: credit reversed",""),"")&amp;IF(AND($B140&gt;=Statement!$C$6,$B140&lt;=Statement!$C$7,N($L140)&lt;1),"Partial credit: "&amp;TEXT($L140,"0%"),""))</f>
        <v/>
      </c>
    </row>
    <row r="141">
      <c r="A141" s="19" t="n"/>
      <c r="B141" s="20" t="n"/>
      <c r="C141" s="19" t="n"/>
      <c r="D141" s="19" t="n"/>
      <c r="E141" s="21" t="n"/>
      <c r="F141" s="19" t="n"/>
      <c r="G141" s="22" t="n"/>
      <c r="H141" s="19" t="n"/>
      <c r="I141" s="22" t="n"/>
      <c r="J141" s="20" t="n"/>
      <c r="K141" s="19" t="n"/>
      <c r="L141" s="23">
        <f>IF($E141="","",IFERROR(VLOOKUP($D141,'Plan setup'!$A$17:$B$21,2,FALSE),0))</f>
        <v/>
      </c>
      <c r="M141" s="17">
        <f>IF($E141="","",$E141*$L141)</f>
        <v/>
      </c>
      <c r="N141" s="17">
        <f>IF(OR($E141="",$F141=""),0,$M141*$G141)</f>
        <v/>
      </c>
      <c r="O141" s="17">
        <f>IF(OR($E141="",$H141=""),0,$M141*$I141)</f>
        <v/>
      </c>
      <c r="P141">
        <f>IF($J141="","",IF($J141-$B141&lt;='Plan setup'!$B$5,"Reversed","Outside window"))</f>
        <v/>
      </c>
      <c r="Q141" s="24">
        <f>IF($P141="Reversed",$J141,"")</f>
        <v/>
      </c>
      <c r="R141">
        <f>IF($E141="","",IF(ABS($G141+IF($I141="",0,$I141)-1)&gt;0.0001,"Splits must total 100%",IF(COUNTIF('Plan setup'!$A$25:$A$34,$F141)=0,"Rep 1 not in Plan setup",IF(IF($H141="",FALSE,COUNTIF('Plan setup'!$A$25:$A$34,$H141)=0),"Rep 2 not in Plan setup",IF(COUNTIF('Plan setup'!$A$17:$A$21,$D141)=0,"Unknown deal type",IF($P141="Outside window","Clawback outside window: not reversed","OK"))))))</f>
        <v/>
      </c>
      <c r="S141">
        <f>AND(ISNUMBER($B141),OR($F141=Statement!$C$3,$H141=Statement!$C$3),OR(AND($B141&gt;=Statement!$C$6,$B141&lt;=Statement!$C$7),AND(ISNUMBER($Q141),$Q141&gt;=Statement!$C$6,$Q141&lt;=Statement!$C$7)))</f>
        <v/>
      </c>
      <c r="T141">
        <f>IF($S141,COUNTIF($S$2:$S141,TRUE),"")</f>
        <v/>
      </c>
      <c r="U141" s="17">
        <f>IF($F141=Statement!$C$3,$N141,0)+IF($H141=Statement!$C$3,$O141,0)</f>
        <v/>
      </c>
      <c r="V141" s="17">
        <f>IF(NOT($S141),0,IF(AND($B141&gt;=Statement!$C$6,$B141&lt;=Statement!$C$7),$U141,0)-IF(ISNUMBER($Q141),IF(AND($Q141&gt;=Statement!$C$6,$Q141&lt;=Statement!$C$7),$U141,0),0))</f>
        <v/>
      </c>
      <c r="W141" s="23">
        <f>IF($F141=Statement!$C$3,$G141,0)+IF($H141=Statement!$C$3,IF($I141="",0,$I141),0)</f>
        <v/>
      </c>
      <c r="X141">
        <f>IF(NOT($S141),"",IF(ISNUMBER($Q141),IF(AND($Q141&gt;=Statement!$C$6,$Q141&lt;=Statement!$C$7),"Clawback: credit reversed",""),"")&amp;IF(AND($B141&gt;=Statement!$C$6,$B141&lt;=Statement!$C$7,N($L141)&lt;1),"Partial credit: "&amp;TEXT($L141,"0%"),""))</f>
        <v/>
      </c>
    </row>
    <row r="142">
      <c r="A142" s="19" t="n"/>
      <c r="B142" s="20" t="n"/>
      <c r="C142" s="19" t="n"/>
      <c r="D142" s="19" t="n"/>
      <c r="E142" s="21" t="n"/>
      <c r="F142" s="19" t="n"/>
      <c r="G142" s="22" t="n"/>
      <c r="H142" s="19" t="n"/>
      <c r="I142" s="22" t="n"/>
      <c r="J142" s="20" t="n"/>
      <c r="K142" s="19" t="n"/>
      <c r="L142" s="23">
        <f>IF($E142="","",IFERROR(VLOOKUP($D142,'Plan setup'!$A$17:$B$21,2,FALSE),0))</f>
        <v/>
      </c>
      <c r="M142" s="17">
        <f>IF($E142="","",$E142*$L142)</f>
        <v/>
      </c>
      <c r="N142" s="17">
        <f>IF(OR($E142="",$F142=""),0,$M142*$G142)</f>
        <v/>
      </c>
      <c r="O142" s="17">
        <f>IF(OR($E142="",$H142=""),0,$M142*$I142)</f>
        <v/>
      </c>
      <c r="P142">
        <f>IF($J142="","",IF($J142-$B142&lt;='Plan setup'!$B$5,"Reversed","Outside window"))</f>
        <v/>
      </c>
      <c r="Q142" s="24">
        <f>IF($P142="Reversed",$J142,"")</f>
        <v/>
      </c>
      <c r="R142">
        <f>IF($E142="","",IF(ABS($G142+IF($I142="",0,$I142)-1)&gt;0.0001,"Splits must total 100%",IF(COUNTIF('Plan setup'!$A$25:$A$34,$F142)=0,"Rep 1 not in Plan setup",IF(IF($H142="",FALSE,COUNTIF('Plan setup'!$A$25:$A$34,$H142)=0),"Rep 2 not in Plan setup",IF(COUNTIF('Plan setup'!$A$17:$A$21,$D142)=0,"Unknown deal type",IF($P142="Outside window","Clawback outside window: not reversed","OK"))))))</f>
        <v/>
      </c>
      <c r="S142">
        <f>AND(ISNUMBER($B142),OR($F142=Statement!$C$3,$H142=Statement!$C$3),OR(AND($B142&gt;=Statement!$C$6,$B142&lt;=Statement!$C$7),AND(ISNUMBER($Q142),$Q142&gt;=Statement!$C$6,$Q142&lt;=Statement!$C$7)))</f>
        <v/>
      </c>
      <c r="T142">
        <f>IF($S142,COUNTIF($S$2:$S142,TRUE),"")</f>
        <v/>
      </c>
      <c r="U142" s="17">
        <f>IF($F142=Statement!$C$3,$N142,0)+IF($H142=Statement!$C$3,$O142,0)</f>
        <v/>
      </c>
      <c r="V142" s="17">
        <f>IF(NOT($S142),0,IF(AND($B142&gt;=Statement!$C$6,$B142&lt;=Statement!$C$7),$U142,0)-IF(ISNUMBER($Q142),IF(AND($Q142&gt;=Statement!$C$6,$Q142&lt;=Statement!$C$7),$U142,0),0))</f>
        <v/>
      </c>
      <c r="W142" s="23">
        <f>IF($F142=Statement!$C$3,$G142,0)+IF($H142=Statement!$C$3,IF($I142="",0,$I142),0)</f>
        <v/>
      </c>
      <c r="X142">
        <f>IF(NOT($S142),"",IF(ISNUMBER($Q142),IF(AND($Q142&gt;=Statement!$C$6,$Q142&lt;=Statement!$C$7),"Clawback: credit reversed",""),"")&amp;IF(AND($B142&gt;=Statement!$C$6,$B142&lt;=Statement!$C$7,N($L142)&lt;1),"Partial credit: "&amp;TEXT($L142,"0%"),""))</f>
        <v/>
      </c>
    </row>
    <row r="143">
      <c r="A143" s="19" t="n"/>
      <c r="B143" s="20" t="n"/>
      <c r="C143" s="19" t="n"/>
      <c r="D143" s="19" t="n"/>
      <c r="E143" s="21" t="n"/>
      <c r="F143" s="19" t="n"/>
      <c r="G143" s="22" t="n"/>
      <c r="H143" s="19" t="n"/>
      <c r="I143" s="22" t="n"/>
      <c r="J143" s="20" t="n"/>
      <c r="K143" s="19" t="n"/>
      <c r="L143" s="23">
        <f>IF($E143="","",IFERROR(VLOOKUP($D143,'Plan setup'!$A$17:$B$21,2,FALSE),0))</f>
        <v/>
      </c>
      <c r="M143" s="17">
        <f>IF($E143="","",$E143*$L143)</f>
        <v/>
      </c>
      <c r="N143" s="17">
        <f>IF(OR($E143="",$F143=""),0,$M143*$G143)</f>
        <v/>
      </c>
      <c r="O143" s="17">
        <f>IF(OR($E143="",$H143=""),0,$M143*$I143)</f>
        <v/>
      </c>
      <c r="P143">
        <f>IF($J143="","",IF($J143-$B143&lt;='Plan setup'!$B$5,"Reversed","Outside window"))</f>
        <v/>
      </c>
      <c r="Q143" s="24">
        <f>IF($P143="Reversed",$J143,"")</f>
        <v/>
      </c>
      <c r="R143">
        <f>IF($E143="","",IF(ABS($G143+IF($I143="",0,$I143)-1)&gt;0.0001,"Splits must total 100%",IF(COUNTIF('Plan setup'!$A$25:$A$34,$F143)=0,"Rep 1 not in Plan setup",IF(IF($H143="",FALSE,COUNTIF('Plan setup'!$A$25:$A$34,$H143)=0),"Rep 2 not in Plan setup",IF(COUNTIF('Plan setup'!$A$17:$A$21,$D143)=0,"Unknown deal type",IF($P143="Outside window","Clawback outside window: not reversed","OK"))))))</f>
        <v/>
      </c>
      <c r="S143">
        <f>AND(ISNUMBER($B143),OR($F143=Statement!$C$3,$H143=Statement!$C$3),OR(AND($B143&gt;=Statement!$C$6,$B143&lt;=Statement!$C$7),AND(ISNUMBER($Q143),$Q143&gt;=Statement!$C$6,$Q143&lt;=Statement!$C$7)))</f>
        <v/>
      </c>
      <c r="T143">
        <f>IF($S143,COUNTIF($S$2:$S143,TRUE),"")</f>
        <v/>
      </c>
      <c r="U143" s="17">
        <f>IF($F143=Statement!$C$3,$N143,0)+IF($H143=Statement!$C$3,$O143,0)</f>
        <v/>
      </c>
      <c r="V143" s="17">
        <f>IF(NOT($S143),0,IF(AND($B143&gt;=Statement!$C$6,$B143&lt;=Statement!$C$7),$U143,0)-IF(ISNUMBER($Q143),IF(AND($Q143&gt;=Statement!$C$6,$Q143&lt;=Statement!$C$7),$U143,0),0))</f>
        <v/>
      </c>
      <c r="W143" s="23">
        <f>IF($F143=Statement!$C$3,$G143,0)+IF($H143=Statement!$C$3,IF($I143="",0,$I143),0)</f>
        <v/>
      </c>
      <c r="X143">
        <f>IF(NOT($S143),"",IF(ISNUMBER($Q143),IF(AND($Q143&gt;=Statement!$C$6,$Q143&lt;=Statement!$C$7),"Clawback: credit reversed",""),"")&amp;IF(AND($B143&gt;=Statement!$C$6,$B143&lt;=Statement!$C$7,N($L143)&lt;1),"Partial credit: "&amp;TEXT($L143,"0%"),""))</f>
        <v/>
      </c>
    </row>
    <row r="144">
      <c r="A144" s="19" t="n"/>
      <c r="B144" s="20" t="n"/>
      <c r="C144" s="19" t="n"/>
      <c r="D144" s="19" t="n"/>
      <c r="E144" s="21" t="n"/>
      <c r="F144" s="19" t="n"/>
      <c r="G144" s="22" t="n"/>
      <c r="H144" s="19" t="n"/>
      <c r="I144" s="22" t="n"/>
      <c r="J144" s="20" t="n"/>
      <c r="K144" s="19" t="n"/>
      <c r="L144" s="23">
        <f>IF($E144="","",IFERROR(VLOOKUP($D144,'Plan setup'!$A$17:$B$21,2,FALSE),0))</f>
        <v/>
      </c>
      <c r="M144" s="17">
        <f>IF($E144="","",$E144*$L144)</f>
        <v/>
      </c>
      <c r="N144" s="17">
        <f>IF(OR($E144="",$F144=""),0,$M144*$G144)</f>
        <v/>
      </c>
      <c r="O144" s="17">
        <f>IF(OR($E144="",$H144=""),0,$M144*$I144)</f>
        <v/>
      </c>
      <c r="P144">
        <f>IF($J144="","",IF($J144-$B144&lt;='Plan setup'!$B$5,"Reversed","Outside window"))</f>
        <v/>
      </c>
      <c r="Q144" s="24">
        <f>IF($P144="Reversed",$J144,"")</f>
        <v/>
      </c>
      <c r="R144">
        <f>IF($E144="","",IF(ABS($G144+IF($I144="",0,$I144)-1)&gt;0.0001,"Splits must total 100%",IF(COUNTIF('Plan setup'!$A$25:$A$34,$F144)=0,"Rep 1 not in Plan setup",IF(IF($H144="",FALSE,COUNTIF('Plan setup'!$A$25:$A$34,$H144)=0),"Rep 2 not in Plan setup",IF(COUNTIF('Plan setup'!$A$17:$A$21,$D144)=0,"Unknown deal type",IF($P144="Outside window","Clawback outside window: not reversed","OK"))))))</f>
        <v/>
      </c>
      <c r="S144">
        <f>AND(ISNUMBER($B144),OR($F144=Statement!$C$3,$H144=Statement!$C$3),OR(AND($B144&gt;=Statement!$C$6,$B144&lt;=Statement!$C$7),AND(ISNUMBER($Q144),$Q144&gt;=Statement!$C$6,$Q144&lt;=Statement!$C$7)))</f>
        <v/>
      </c>
      <c r="T144">
        <f>IF($S144,COUNTIF($S$2:$S144,TRUE),"")</f>
        <v/>
      </c>
      <c r="U144" s="17">
        <f>IF($F144=Statement!$C$3,$N144,0)+IF($H144=Statement!$C$3,$O144,0)</f>
        <v/>
      </c>
      <c r="V144" s="17">
        <f>IF(NOT($S144),0,IF(AND($B144&gt;=Statement!$C$6,$B144&lt;=Statement!$C$7),$U144,0)-IF(ISNUMBER($Q144),IF(AND($Q144&gt;=Statement!$C$6,$Q144&lt;=Statement!$C$7),$U144,0),0))</f>
        <v/>
      </c>
      <c r="W144" s="23">
        <f>IF($F144=Statement!$C$3,$G144,0)+IF($H144=Statement!$C$3,IF($I144="",0,$I144),0)</f>
        <v/>
      </c>
      <c r="X144">
        <f>IF(NOT($S144),"",IF(ISNUMBER($Q144),IF(AND($Q144&gt;=Statement!$C$6,$Q144&lt;=Statement!$C$7),"Clawback: credit reversed",""),"")&amp;IF(AND($B144&gt;=Statement!$C$6,$B144&lt;=Statement!$C$7,N($L144)&lt;1),"Partial credit: "&amp;TEXT($L144,"0%"),""))</f>
        <v/>
      </c>
    </row>
    <row r="145">
      <c r="A145" s="19" t="n"/>
      <c r="B145" s="20" t="n"/>
      <c r="C145" s="19" t="n"/>
      <c r="D145" s="19" t="n"/>
      <c r="E145" s="21" t="n"/>
      <c r="F145" s="19" t="n"/>
      <c r="G145" s="22" t="n"/>
      <c r="H145" s="19" t="n"/>
      <c r="I145" s="22" t="n"/>
      <c r="J145" s="20" t="n"/>
      <c r="K145" s="19" t="n"/>
      <c r="L145" s="23">
        <f>IF($E145="","",IFERROR(VLOOKUP($D145,'Plan setup'!$A$17:$B$21,2,FALSE),0))</f>
        <v/>
      </c>
      <c r="M145" s="17">
        <f>IF($E145="","",$E145*$L145)</f>
        <v/>
      </c>
      <c r="N145" s="17">
        <f>IF(OR($E145="",$F145=""),0,$M145*$G145)</f>
        <v/>
      </c>
      <c r="O145" s="17">
        <f>IF(OR($E145="",$H145=""),0,$M145*$I145)</f>
        <v/>
      </c>
      <c r="P145">
        <f>IF($J145="","",IF($J145-$B145&lt;='Plan setup'!$B$5,"Reversed","Outside window"))</f>
        <v/>
      </c>
      <c r="Q145" s="24">
        <f>IF($P145="Reversed",$J145,"")</f>
        <v/>
      </c>
      <c r="R145">
        <f>IF($E145="","",IF(ABS($G145+IF($I145="",0,$I145)-1)&gt;0.0001,"Splits must total 100%",IF(COUNTIF('Plan setup'!$A$25:$A$34,$F145)=0,"Rep 1 not in Plan setup",IF(IF($H145="",FALSE,COUNTIF('Plan setup'!$A$25:$A$34,$H145)=0),"Rep 2 not in Plan setup",IF(COUNTIF('Plan setup'!$A$17:$A$21,$D145)=0,"Unknown deal type",IF($P145="Outside window","Clawback outside window: not reversed","OK"))))))</f>
        <v/>
      </c>
      <c r="S145">
        <f>AND(ISNUMBER($B145),OR($F145=Statement!$C$3,$H145=Statement!$C$3),OR(AND($B145&gt;=Statement!$C$6,$B145&lt;=Statement!$C$7),AND(ISNUMBER($Q145),$Q145&gt;=Statement!$C$6,$Q145&lt;=Statement!$C$7)))</f>
        <v/>
      </c>
      <c r="T145">
        <f>IF($S145,COUNTIF($S$2:$S145,TRUE),"")</f>
        <v/>
      </c>
      <c r="U145" s="17">
        <f>IF($F145=Statement!$C$3,$N145,0)+IF($H145=Statement!$C$3,$O145,0)</f>
        <v/>
      </c>
      <c r="V145" s="17">
        <f>IF(NOT($S145),0,IF(AND($B145&gt;=Statement!$C$6,$B145&lt;=Statement!$C$7),$U145,0)-IF(ISNUMBER($Q145),IF(AND($Q145&gt;=Statement!$C$6,$Q145&lt;=Statement!$C$7),$U145,0),0))</f>
        <v/>
      </c>
      <c r="W145" s="23">
        <f>IF($F145=Statement!$C$3,$G145,0)+IF($H145=Statement!$C$3,IF($I145="",0,$I145),0)</f>
        <v/>
      </c>
      <c r="X145">
        <f>IF(NOT($S145),"",IF(ISNUMBER($Q145),IF(AND($Q145&gt;=Statement!$C$6,$Q145&lt;=Statement!$C$7),"Clawback: credit reversed",""),"")&amp;IF(AND($B145&gt;=Statement!$C$6,$B145&lt;=Statement!$C$7,N($L145)&lt;1),"Partial credit: "&amp;TEXT($L145,"0%"),""))</f>
        <v/>
      </c>
    </row>
    <row r="146">
      <c r="A146" s="19" t="n"/>
      <c r="B146" s="20" t="n"/>
      <c r="C146" s="19" t="n"/>
      <c r="D146" s="19" t="n"/>
      <c r="E146" s="21" t="n"/>
      <c r="F146" s="19" t="n"/>
      <c r="G146" s="22" t="n"/>
      <c r="H146" s="19" t="n"/>
      <c r="I146" s="22" t="n"/>
      <c r="J146" s="20" t="n"/>
      <c r="K146" s="19" t="n"/>
      <c r="L146" s="23">
        <f>IF($E146="","",IFERROR(VLOOKUP($D146,'Plan setup'!$A$17:$B$21,2,FALSE),0))</f>
        <v/>
      </c>
      <c r="M146" s="17">
        <f>IF($E146="","",$E146*$L146)</f>
        <v/>
      </c>
      <c r="N146" s="17">
        <f>IF(OR($E146="",$F146=""),0,$M146*$G146)</f>
        <v/>
      </c>
      <c r="O146" s="17">
        <f>IF(OR($E146="",$H146=""),0,$M146*$I146)</f>
        <v/>
      </c>
      <c r="P146">
        <f>IF($J146="","",IF($J146-$B146&lt;='Plan setup'!$B$5,"Reversed","Outside window"))</f>
        <v/>
      </c>
      <c r="Q146" s="24">
        <f>IF($P146="Reversed",$J146,"")</f>
        <v/>
      </c>
      <c r="R146">
        <f>IF($E146="","",IF(ABS($G146+IF($I146="",0,$I146)-1)&gt;0.0001,"Splits must total 100%",IF(COUNTIF('Plan setup'!$A$25:$A$34,$F146)=0,"Rep 1 not in Plan setup",IF(IF($H146="",FALSE,COUNTIF('Plan setup'!$A$25:$A$34,$H146)=0),"Rep 2 not in Plan setup",IF(COUNTIF('Plan setup'!$A$17:$A$21,$D146)=0,"Unknown deal type",IF($P146="Outside window","Clawback outside window: not reversed","OK"))))))</f>
        <v/>
      </c>
      <c r="S146">
        <f>AND(ISNUMBER($B146),OR($F146=Statement!$C$3,$H146=Statement!$C$3),OR(AND($B146&gt;=Statement!$C$6,$B146&lt;=Statement!$C$7),AND(ISNUMBER($Q146),$Q146&gt;=Statement!$C$6,$Q146&lt;=Statement!$C$7)))</f>
        <v/>
      </c>
      <c r="T146">
        <f>IF($S146,COUNTIF($S$2:$S146,TRUE),"")</f>
        <v/>
      </c>
      <c r="U146" s="17">
        <f>IF($F146=Statement!$C$3,$N146,0)+IF($H146=Statement!$C$3,$O146,0)</f>
        <v/>
      </c>
      <c r="V146" s="17">
        <f>IF(NOT($S146),0,IF(AND($B146&gt;=Statement!$C$6,$B146&lt;=Statement!$C$7),$U146,0)-IF(ISNUMBER($Q146),IF(AND($Q146&gt;=Statement!$C$6,$Q146&lt;=Statement!$C$7),$U146,0),0))</f>
        <v/>
      </c>
      <c r="W146" s="23">
        <f>IF($F146=Statement!$C$3,$G146,0)+IF($H146=Statement!$C$3,IF($I146="",0,$I146),0)</f>
        <v/>
      </c>
      <c r="X146">
        <f>IF(NOT($S146),"",IF(ISNUMBER($Q146),IF(AND($Q146&gt;=Statement!$C$6,$Q146&lt;=Statement!$C$7),"Clawback: credit reversed",""),"")&amp;IF(AND($B146&gt;=Statement!$C$6,$B146&lt;=Statement!$C$7,N($L146)&lt;1),"Partial credit: "&amp;TEXT($L146,"0%"),""))</f>
        <v/>
      </c>
    </row>
    <row r="147">
      <c r="A147" s="19" t="n"/>
      <c r="B147" s="20" t="n"/>
      <c r="C147" s="19" t="n"/>
      <c r="D147" s="19" t="n"/>
      <c r="E147" s="21" t="n"/>
      <c r="F147" s="19" t="n"/>
      <c r="G147" s="22" t="n"/>
      <c r="H147" s="19" t="n"/>
      <c r="I147" s="22" t="n"/>
      <c r="J147" s="20" t="n"/>
      <c r="K147" s="19" t="n"/>
      <c r="L147" s="23">
        <f>IF($E147="","",IFERROR(VLOOKUP($D147,'Plan setup'!$A$17:$B$21,2,FALSE),0))</f>
        <v/>
      </c>
      <c r="M147" s="17">
        <f>IF($E147="","",$E147*$L147)</f>
        <v/>
      </c>
      <c r="N147" s="17">
        <f>IF(OR($E147="",$F147=""),0,$M147*$G147)</f>
        <v/>
      </c>
      <c r="O147" s="17">
        <f>IF(OR($E147="",$H147=""),0,$M147*$I147)</f>
        <v/>
      </c>
      <c r="P147">
        <f>IF($J147="","",IF($J147-$B147&lt;='Plan setup'!$B$5,"Reversed","Outside window"))</f>
        <v/>
      </c>
      <c r="Q147" s="24">
        <f>IF($P147="Reversed",$J147,"")</f>
        <v/>
      </c>
      <c r="R147">
        <f>IF($E147="","",IF(ABS($G147+IF($I147="",0,$I147)-1)&gt;0.0001,"Splits must total 100%",IF(COUNTIF('Plan setup'!$A$25:$A$34,$F147)=0,"Rep 1 not in Plan setup",IF(IF($H147="",FALSE,COUNTIF('Plan setup'!$A$25:$A$34,$H147)=0),"Rep 2 not in Plan setup",IF(COUNTIF('Plan setup'!$A$17:$A$21,$D147)=0,"Unknown deal type",IF($P147="Outside window","Clawback outside window: not reversed","OK"))))))</f>
        <v/>
      </c>
      <c r="S147">
        <f>AND(ISNUMBER($B147),OR($F147=Statement!$C$3,$H147=Statement!$C$3),OR(AND($B147&gt;=Statement!$C$6,$B147&lt;=Statement!$C$7),AND(ISNUMBER($Q147),$Q147&gt;=Statement!$C$6,$Q147&lt;=Statement!$C$7)))</f>
        <v/>
      </c>
      <c r="T147">
        <f>IF($S147,COUNTIF($S$2:$S147,TRUE),"")</f>
        <v/>
      </c>
      <c r="U147" s="17">
        <f>IF($F147=Statement!$C$3,$N147,0)+IF($H147=Statement!$C$3,$O147,0)</f>
        <v/>
      </c>
      <c r="V147" s="17">
        <f>IF(NOT($S147),0,IF(AND($B147&gt;=Statement!$C$6,$B147&lt;=Statement!$C$7),$U147,0)-IF(ISNUMBER($Q147),IF(AND($Q147&gt;=Statement!$C$6,$Q147&lt;=Statement!$C$7),$U147,0),0))</f>
        <v/>
      </c>
      <c r="W147" s="23">
        <f>IF($F147=Statement!$C$3,$G147,0)+IF($H147=Statement!$C$3,IF($I147="",0,$I147),0)</f>
        <v/>
      </c>
      <c r="X147">
        <f>IF(NOT($S147),"",IF(ISNUMBER($Q147),IF(AND($Q147&gt;=Statement!$C$6,$Q147&lt;=Statement!$C$7),"Clawback: credit reversed",""),"")&amp;IF(AND($B147&gt;=Statement!$C$6,$B147&lt;=Statement!$C$7,N($L147)&lt;1),"Partial credit: "&amp;TEXT($L147,"0%"),""))</f>
        <v/>
      </c>
    </row>
    <row r="148">
      <c r="A148" s="19" t="n"/>
      <c r="B148" s="20" t="n"/>
      <c r="C148" s="19" t="n"/>
      <c r="D148" s="19" t="n"/>
      <c r="E148" s="21" t="n"/>
      <c r="F148" s="19" t="n"/>
      <c r="G148" s="22" t="n"/>
      <c r="H148" s="19" t="n"/>
      <c r="I148" s="22" t="n"/>
      <c r="J148" s="20" t="n"/>
      <c r="K148" s="19" t="n"/>
      <c r="L148" s="23">
        <f>IF($E148="","",IFERROR(VLOOKUP($D148,'Plan setup'!$A$17:$B$21,2,FALSE),0))</f>
        <v/>
      </c>
      <c r="M148" s="17">
        <f>IF($E148="","",$E148*$L148)</f>
        <v/>
      </c>
      <c r="N148" s="17">
        <f>IF(OR($E148="",$F148=""),0,$M148*$G148)</f>
        <v/>
      </c>
      <c r="O148" s="17">
        <f>IF(OR($E148="",$H148=""),0,$M148*$I148)</f>
        <v/>
      </c>
      <c r="P148">
        <f>IF($J148="","",IF($J148-$B148&lt;='Plan setup'!$B$5,"Reversed","Outside window"))</f>
        <v/>
      </c>
      <c r="Q148" s="24">
        <f>IF($P148="Reversed",$J148,"")</f>
        <v/>
      </c>
      <c r="R148">
        <f>IF($E148="","",IF(ABS($G148+IF($I148="",0,$I148)-1)&gt;0.0001,"Splits must total 100%",IF(COUNTIF('Plan setup'!$A$25:$A$34,$F148)=0,"Rep 1 not in Plan setup",IF(IF($H148="",FALSE,COUNTIF('Plan setup'!$A$25:$A$34,$H148)=0),"Rep 2 not in Plan setup",IF(COUNTIF('Plan setup'!$A$17:$A$21,$D148)=0,"Unknown deal type",IF($P148="Outside window","Clawback outside window: not reversed","OK"))))))</f>
        <v/>
      </c>
      <c r="S148">
        <f>AND(ISNUMBER($B148),OR($F148=Statement!$C$3,$H148=Statement!$C$3),OR(AND($B148&gt;=Statement!$C$6,$B148&lt;=Statement!$C$7),AND(ISNUMBER($Q148),$Q148&gt;=Statement!$C$6,$Q148&lt;=Statement!$C$7)))</f>
        <v/>
      </c>
      <c r="T148">
        <f>IF($S148,COUNTIF($S$2:$S148,TRUE),"")</f>
        <v/>
      </c>
      <c r="U148" s="17">
        <f>IF($F148=Statement!$C$3,$N148,0)+IF($H148=Statement!$C$3,$O148,0)</f>
        <v/>
      </c>
      <c r="V148" s="17">
        <f>IF(NOT($S148),0,IF(AND($B148&gt;=Statement!$C$6,$B148&lt;=Statement!$C$7),$U148,0)-IF(ISNUMBER($Q148),IF(AND($Q148&gt;=Statement!$C$6,$Q148&lt;=Statement!$C$7),$U148,0),0))</f>
        <v/>
      </c>
      <c r="W148" s="23">
        <f>IF($F148=Statement!$C$3,$G148,0)+IF($H148=Statement!$C$3,IF($I148="",0,$I148),0)</f>
        <v/>
      </c>
      <c r="X148">
        <f>IF(NOT($S148),"",IF(ISNUMBER($Q148),IF(AND($Q148&gt;=Statement!$C$6,$Q148&lt;=Statement!$C$7),"Clawback: credit reversed",""),"")&amp;IF(AND($B148&gt;=Statement!$C$6,$B148&lt;=Statement!$C$7,N($L148)&lt;1),"Partial credit: "&amp;TEXT($L148,"0%"),""))</f>
        <v/>
      </c>
    </row>
    <row r="149">
      <c r="A149" s="19" t="n"/>
      <c r="B149" s="20" t="n"/>
      <c r="C149" s="19" t="n"/>
      <c r="D149" s="19" t="n"/>
      <c r="E149" s="21" t="n"/>
      <c r="F149" s="19" t="n"/>
      <c r="G149" s="22" t="n"/>
      <c r="H149" s="19" t="n"/>
      <c r="I149" s="22" t="n"/>
      <c r="J149" s="20" t="n"/>
      <c r="K149" s="19" t="n"/>
      <c r="L149" s="23">
        <f>IF($E149="","",IFERROR(VLOOKUP($D149,'Plan setup'!$A$17:$B$21,2,FALSE),0))</f>
        <v/>
      </c>
      <c r="M149" s="17">
        <f>IF($E149="","",$E149*$L149)</f>
        <v/>
      </c>
      <c r="N149" s="17">
        <f>IF(OR($E149="",$F149=""),0,$M149*$G149)</f>
        <v/>
      </c>
      <c r="O149" s="17">
        <f>IF(OR($E149="",$H149=""),0,$M149*$I149)</f>
        <v/>
      </c>
      <c r="P149">
        <f>IF($J149="","",IF($J149-$B149&lt;='Plan setup'!$B$5,"Reversed","Outside window"))</f>
        <v/>
      </c>
      <c r="Q149" s="24">
        <f>IF($P149="Reversed",$J149,"")</f>
        <v/>
      </c>
      <c r="R149">
        <f>IF($E149="","",IF(ABS($G149+IF($I149="",0,$I149)-1)&gt;0.0001,"Splits must total 100%",IF(COUNTIF('Plan setup'!$A$25:$A$34,$F149)=0,"Rep 1 not in Plan setup",IF(IF($H149="",FALSE,COUNTIF('Plan setup'!$A$25:$A$34,$H149)=0),"Rep 2 not in Plan setup",IF(COUNTIF('Plan setup'!$A$17:$A$21,$D149)=0,"Unknown deal type",IF($P149="Outside window","Clawback outside window: not reversed","OK"))))))</f>
        <v/>
      </c>
      <c r="S149">
        <f>AND(ISNUMBER($B149),OR($F149=Statement!$C$3,$H149=Statement!$C$3),OR(AND($B149&gt;=Statement!$C$6,$B149&lt;=Statement!$C$7),AND(ISNUMBER($Q149),$Q149&gt;=Statement!$C$6,$Q149&lt;=Statement!$C$7)))</f>
        <v/>
      </c>
      <c r="T149">
        <f>IF($S149,COUNTIF($S$2:$S149,TRUE),"")</f>
        <v/>
      </c>
      <c r="U149" s="17">
        <f>IF($F149=Statement!$C$3,$N149,0)+IF($H149=Statement!$C$3,$O149,0)</f>
        <v/>
      </c>
      <c r="V149" s="17">
        <f>IF(NOT($S149),0,IF(AND($B149&gt;=Statement!$C$6,$B149&lt;=Statement!$C$7),$U149,0)-IF(ISNUMBER($Q149),IF(AND($Q149&gt;=Statement!$C$6,$Q149&lt;=Statement!$C$7),$U149,0),0))</f>
        <v/>
      </c>
      <c r="W149" s="23">
        <f>IF($F149=Statement!$C$3,$G149,0)+IF($H149=Statement!$C$3,IF($I149="",0,$I149),0)</f>
        <v/>
      </c>
      <c r="X149">
        <f>IF(NOT($S149),"",IF(ISNUMBER($Q149),IF(AND($Q149&gt;=Statement!$C$6,$Q149&lt;=Statement!$C$7),"Clawback: credit reversed",""),"")&amp;IF(AND($B149&gt;=Statement!$C$6,$B149&lt;=Statement!$C$7,N($L149)&lt;1),"Partial credit: "&amp;TEXT($L149,"0%"),""))</f>
        <v/>
      </c>
    </row>
    <row r="150">
      <c r="A150" s="19" t="n"/>
      <c r="B150" s="20" t="n"/>
      <c r="C150" s="19" t="n"/>
      <c r="D150" s="19" t="n"/>
      <c r="E150" s="21" t="n"/>
      <c r="F150" s="19" t="n"/>
      <c r="G150" s="22" t="n"/>
      <c r="H150" s="19" t="n"/>
      <c r="I150" s="22" t="n"/>
      <c r="J150" s="20" t="n"/>
      <c r="K150" s="19" t="n"/>
      <c r="L150" s="23">
        <f>IF($E150="","",IFERROR(VLOOKUP($D150,'Plan setup'!$A$17:$B$21,2,FALSE),0))</f>
        <v/>
      </c>
      <c r="M150" s="17">
        <f>IF($E150="","",$E150*$L150)</f>
        <v/>
      </c>
      <c r="N150" s="17">
        <f>IF(OR($E150="",$F150=""),0,$M150*$G150)</f>
        <v/>
      </c>
      <c r="O150" s="17">
        <f>IF(OR($E150="",$H150=""),0,$M150*$I150)</f>
        <v/>
      </c>
      <c r="P150">
        <f>IF($J150="","",IF($J150-$B150&lt;='Plan setup'!$B$5,"Reversed","Outside window"))</f>
        <v/>
      </c>
      <c r="Q150" s="24">
        <f>IF($P150="Reversed",$J150,"")</f>
        <v/>
      </c>
      <c r="R150">
        <f>IF($E150="","",IF(ABS($G150+IF($I150="",0,$I150)-1)&gt;0.0001,"Splits must total 100%",IF(COUNTIF('Plan setup'!$A$25:$A$34,$F150)=0,"Rep 1 not in Plan setup",IF(IF($H150="",FALSE,COUNTIF('Plan setup'!$A$25:$A$34,$H150)=0),"Rep 2 not in Plan setup",IF(COUNTIF('Plan setup'!$A$17:$A$21,$D150)=0,"Unknown deal type",IF($P150="Outside window","Clawback outside window: not reversed","OK"))))))</f>
        <v/>
      </c>
      <c r="S150">
        <f>AND(ISNUMBER($B150),OR($F150=Statement!$C$3,$H150=Statement!$C$3),OR(AND($B150&gt;=Statement!$C$6,$B150&lt;=Statement!$C$7),AND(ISNUMBER($Q150),$Q150&gt;=Statement!$C$6,$Q150&lt;=Statement!$C$7)))</f>
        <v/>
      </c>
      <c r="T150">
        <f>IF($S150,COUNTIF($S$2:$S150,TRUE),"")</f>
        <v/>
      </c>
      <c r="U150" s="17">
        <f>IF($F150=Statement!$C$3,$N150,0)+IF($H150=Statement!$C$3,$O150,0)</f>
        <v/>
      </c>
      <c r="V150" s="17">
        <f>IF(NOT($S150),0,IF(AND($B150&gt;=Statement!$C$6,$B150&lt;=Statement!$C$7),$U150,0)-IF(ISNUMBER($Q150),IF(AND($Q150&gt;=Statement!$C$6,$Q150&lt;=Statement!$C$7),$U150,0),0))</f>
        <v/>
      </c>
      <c r="W150" s="23">
        <f>IF($F150=Statement!$C$3,$G150,0)+IF($H150=Statement!$C$3,IF($I150="",0,$I150),0)</f>
        <v/>
      </c>
      <c r="X150">
        <f>IF(NOT($S150),"",IF(ISNUMBER($Q150),IF(AND($Q150&gt;=Statement!$C$6,$Q150&lt;=Statement!$C$7),"Clawback: credit reversed",""),"")&amp;IF(AND($B150&gt;=Statement!$C$6,$B150&lt;=Statement!$C$7,N($L150)&lt;1),"Partial credit: "&amp;TEXT($L150,"0%"),""))</f>
        <v/>
      </c>
    </row>
    <row r="151">
      <c r="A151" s="19" t="n"/>
      <c r="B151" s="20" t="n"/>
      <c r="C151" s="19" t="n"/>
      <c r="D151" s="19" t="n"/>
      <c r="E151" s="21" t="n"/>
      <c r="F151" s="19" t="n"/>
      <c r="G151" s="22" t="n"/>
      <c r="H151" s="19" t="n"/>
      <c r="I151" s="22" t="n"/>
      <c r="J151" s="20" t="n"/>
      <c r="K151" s="19" t="n"/>
      <c r="L151" s="23">
        <f>IF($E151="","",IFERROR(VLOOKUP($D151,'Plan setup'!$A$17:$B$21,2,FALSE),0))</f>
        <v/>
      </c>
      <c r="M151" s="17">
        <f>IF($E151="","",$E151*$L151)</f>
        <v/>
      </c>
      <c r="N151" s="17">
        <f>IF(OR($E151="",$F151=""),0,$M151*$G151)</f>
        <v/>
      </c>
      <c r="O151" s="17">
        <f>IF(OR($E151="",$H151=""),0,$M151*$I151)</f>
        <v/>
      </c>
      <c r="P151">
        <f>IF($J151="","",IF($J151-$B151&lt;='Plan setup'!$B$5,"Reversed","Outside window"))</f>
        <v/>
      </c>
      <c r="Q151" s="24">
        <f>IF($P151="Reversed",$J151,"")</f>
        <v/>
      </c>
      <c r="R151">
        <f>IF($E151="","",IF(ABS($G151+IF($I151="",0,$I151)-1)&gt;0.0001,"Splits must total 100%",IF(COUNTIF('Plan setup'!$A$25:$A$34,$F151)=0,"Rep 1 not in Plan setup",IF(IF($H151="",FALSE,COUNTIF('Plan setup'!$A$25:$A$34,$H151)=0),"Rep 2 not in Plan setup",IF(COUNTIF('Plan setup'!$A$17:$A$21,$D151)=0,"Unknown deal type",IF($P151="Outside window","Clawback outside window: not reversed","OK"))))))</f>
        <v/>
      </c>
      <c r="S151">
        <f>AND(ISNUMBER($B151),OR($F151=Statement!$C$3,$H151=Statement!$C$3),OR(AND($B151&gt;=Statement!$C$6,$B151&lt;=Statement!$C$7),AND(ISNUMBER($Q151),$Q151&gt;=Statement!$C$6,$Q151&lt;=Statement!$C$7)))</f>
        <v/>
      </c>
      <c r="T151">
        <f>IF($S151,COUNTIF($S$2:$S151,TRUE),"")</f>
        <v/>
      </c>
      <c r="U151" s="17">
        <f>IF($F151=Statement!$C$3,$N151,0)+IF($H151=Statement!$C$3,$O151,0)</f>
        <v/>
      </c>
      <c r="V151" s="17">
        <f>IF(NOT($S151),0,IF(AND($B151&gt;=Statement!$C$6,$B151&lt;=Statement!$C$7),$U151,0)-IF(ISNUMBER($Q151),IF(AND($Q151&gt;=Statement!$C$6,$Q151&lt;=Statement!$C$7),$U151,0),0))</f>
        <v/>
      </c>
      <c r="W151" s="23">
        <f>IF($F151=Statement!$C$3,$G151,0)+IF($H151=Statement!$C$3,IF($I151="",0,$I151),0)</f>
        <v/>
      </c>
      <c r="X151">
        <f>IF(NOT($S151),"",IF(ISNUMBER($Q151),IF(AND($Q151&gt;=Statement!$C$6,$Q151&lt;=Statement!$C$7),"Clawback: credit reversed",""),"")&amp;IF(AND($B151&gt;=Statement!$C$6,$B151&lt;=Statement!$C$7,N($L151)&lt;1),"Partial credit: "&amp;TEXT($L151,"0%"),""))</f>
        <v/>
      </c>
    </row>
    <row r="152">
      <c r="A152" s="19" t="n"/>
      <c r="B152" s="20" t="n"/>
      <c r="C152" s="19" t="n"/>
      <c r="D152" s="19" t="n"/>
      <c r="E152" s="21" t="n"/>
      <c r="F152" s="19" t="n"/>
      <c r="G152" s="22" t="n"/>
      <c r="H152" s="19" t="n"/>
      <c r="I152" s="22" t="n"/>
      <c r="J152" s="20" t="n"/>
      <c r="K152" s="19" t="n"/>
      <c r="L152" s="23">
        <f>IF($E152="","",IFERROR(VLOOKUP($D152,'Plan setup'!$A$17:$B$21,2,FALSE),0))</f>
        <v/>
      </c>
      <c r="M152" s="17">
        <f>IF($E152="","",$E152*$L152)</f>
        <v/>
      </c>
      <c r="N152" s="17">
        <f>IF(OR($E152="",$F152=""),0,$M152*$G152)</f>
        <v/>
      </c>
      <c r="O152" s="17">
        <f>IF(OR($E152="",$H152=""),0,$M152*$I152)</f>
        <v/>
      </c>
      <c r="P152">
        <f>IF($J152="","",IF($J152-$B152&lt;='Plan setup'!$B$5,"Reversed","Outside window"))</f>
        <v/>
      </c>
      <c r="Q152" s="24">
        <f>IF($P152="Reversed",$J152,"")</f>
        <v/>
      </c>
      <c r="R152">
        <f>IF($E152="","",IF(ABS($G152+IF($I152="",0,$I152)-1)&gt;0.0001,"Splits must total 100%",IF(COUNTIF('Plan setup'!$A$25:$A$34,$F152)=0,"Rep 1 not in Plan setup",IF(IF($H152="",FALSE,COUNTIF('Plan setup'!$A$25:$A$34,$H152)=0),"Rep 2 not in Plan setup",IF(COUNTIF('Plan setup'!$A$17:$A$21,$D152)=0,"Unknown deal type",IF($P152="Outside window","Clawback outside window: not reversed","OK"))))))</f>
        <v/>
      </c>
      <c r="S152">
        <f>AND(ISNUMBER($B152),OR($F152=Statement!$C$3,$H152=Statement!$C$3),OR(AND($B152&gt;=Statement!$C$6,$B152&lt;=Statement!$C$7),AND(ISNUMBER($Q152),$Q152&gt;=Statement!$C$6,$Q152&lt;=Statement!$C$7)))</f>
        <v/>
      </c>
      <c r="T152">
        <f>IF($S152,COUNTIF($S$2:$S152,TRUE),"")</f>
        <v/>
      </c>
      <c r="U152" s="17">
        <f>IF($F152=Statement!$C$3,$N152,0)+IF($H152=Statement!$C$3,$O152,0)</f>
        <v/>
      </c>
      <c r="V152" s="17">
        <f>IF(NOT($S152),0,IF(AND($B152&gt;=Statement!$C$6,$B152&lt;=Statement!$C$7),$U152,0)-IF(ISNUMBER($Q152),IF(AND($Q152&gt;=Statement!$C$6,$Q152&lt;=Statement!$C$7),$U152,0),0))</f>
        <v/>
      </c>
      <c r="W152" s="23">
        <f>IF($F152=Statement!$C$3,$G152,0)+IF($H152=Statement!$C$3,IF($I152="",0,$I152),0)</f>
        <v/>
      </c>
      <c r="X152">
        <f>IF(NOT($S152),"",IF(ISNUMBER($Q152),IF(AND($Q152&gt;=Statement!$C$6,$Q152&lt;=Statement!$C$7),"Clawback: credit reversed",""),"")&amp;IF(AND($B152&gt;=Statement!$C$6,$B152&lt;=Statement!$C$7,N($L152)&lt;1),"Partial credit: "&amp;TEXT($L152,"0%"),""))</f>
        <v/>
      </c>
    </row>
    <row r="153">
      <c r="A153" s="19" t="n"/>
      <c r="B153" s="20" t="n"/>
      <c r="C153" s="19" t="n"/>
      <c r="D153" s="19" t="n"/>
      <c r="E153" s="21" t="n"/>
      <c r="F153" s="19" t="n"/>
      <c r="G153" s="22" t="n"/>
      <c r="H153" s="19" t="n"/>
      <c r="I153" s="22" t="n"/>
      <c r="J153" s="20" t="n"/>
      <c r="K153" s="19" t="n"/>
      <c r="L153" s="23">
        <f>IF($E153="","",IFERROR(VLOOKUP($D153,'Plan setup'!$A$17:$B$21,2,FALSE),0))</f>
        <v/>
      </c>
      <c r="M153" s="17">
        <f>IF($E153="","",$E153*$L153)</f>
        <v/>
      </c>
      <c r="N153" s="17">
        <f>IF(OR($E153="",$F153=""),0,$M153*$G153)</f>
        <v/>
      </c>
      <c r="O153" s="17">
        <f>IF(OR($E153="",$H153=""),0,$M153*$I153)</f>
        <v/>
      </c>
      <c r="P153">
        <f>IF($J153="","",IF($J153-$B153&lt;='Plan setup'!$B$5,"Reversed","Outside window"))</f>
        <v/>
      </c>
      <c r="Q153" s="24">
        <f>IF($P153="Reversed",$J153,"")</f>
        <v/>
      </c>
      <c r="R153">
        <f>IF($E153="","",IF(ABS($G153+IF($I153="",0,$I153)-1)&gt;0.0001,"Splits must total 100%",IF(COUNTIF('Plan setup'!$A$25:$A$34,$F153)=0,"Rep 1 not in Plan setup",IF(IF($H153="",FALSE,COUNTIF('Plan setup'!$A$25:$A$34,$H153)=0),"Rep 2 not in Plan setup",IF(COUNTIF('Plan setup'!$A$17:$A$21,$D153)=0,"Unknown deal type",IF($P153="Outside window","Clawback outside window: not reversed","OK"))))))</f>
        <v/>
      </c>
      <c r="S153">
        <f>AND(ISNUMBER($B153),OR($F153=Statement!$C$3,$H153=Statement!$C$3),OR(AND($B153&gt;=Statement!$C$6,$B153&lt;=Statement!$C$7),AND(ISNUMBER($Q153),$Q153&gt;=Statement!$C$6,$Q153&lt;=Statement!$C$7)))</f>
        <v/>
      </c>
      <c r="T153">
        <f>IF($S153,COUNTIF($S$2:$S153,TRUE),"")</f>
        <v/>
      </c>
      <c r="U153" s="17">
        <f>IF($F153=Statement!$C$3,$N153,0)+IF($H153=Statement!$C$3,$O153,0)</f>
        <v/>
      </c>
      <c r="V153" s="17">
        <f>IF(NOT($S153),0,IF(AND($B153&gt;=Statement!$C$6,$B153&lt;=Statement!$C$7),$U153,0)-IF(ISNUMBER($Q153),IF(AND($Q153&gt;=Statement!$C$6,$Q153&lt;=Statement!$C$7),$U153,0),0))</f>
        <v/>
      </c>
      <c r="W153" s="23">
        <f>IF($F153=Statement!$C$3,$G153,0)+IF($H153=Statement!$C$3,IF($I153="",0,$I153),0)</f>
        <v/>
      </c>
      <c r="X153">
        <f>IF(NOT($S153),"",IF(ISNUMBER($Q153),IF(AND($Q153&gt;=Statement!$C$6,$Q153&lt;=Statement!$C$7),"Clawback: credit reversed",""),"")&amp;IF(AND($B153&gt;=Statement!$C$6,$B153&lt;=Statement!$C$7,N($L153)&lt;1),"Partial credit: "&amp;TEXT($L153,"0%"),""))</f>
        <v/>
      </c>
    </row>
    <row r="154">
      <c r="A154" s="19" t="n"/>
      <c r="B154" s="20" t="n"/>
      <c r="C154" s="19" t="n"/>
      <c r="D154" s="19" t="n"/>
      <c r="E154" s="21" t="n"/>
      <c r="F154" s="19" t="n"/>
      <c r="G154" s="22" t="n"/>
      <c r="H154" s="19" t="n"/>
      <c r="I154" s="22" t="n"/>
      <c r="J154" s="20" t="n"/>
      <c r="K154" s="19" t="n"/>
      <c r="L154" s="23">
        <f>IF($E154="","",IFERROR(VLOOKUP($D154,'Plan setup'!$A$17:$B$21,2,FALSE),0))</f>
        <v/>
      </c>
      <c r="M154" s="17">
        <f>IF($E154="","",$E154*$L154)</f>
        <v/>
      </c>
      <c r="N154" s="17">
        <f>IF(OR($E154="",$F154=""),0,$M154*$G154)</f>
        <v/>
      </c>
      <c r="O154" s="17">
        <f>IF(OR($E154="",$H154=""),0,$M154*$I154)</f>
        <v/>
      </c>
      <c r="P154">
        <f>IF($J154="","",IF($J154-$B154&lt;='Plan setup'!$B$5,"Reversed","Outside window"))</f>
        <v/>
      </c>
      <c r="Q154" s="24">
        <f>IF($P154="Reversed",$J154,"")</f>
        <v/>
      </c>
      <c r="R154">
        <f>IF($E154="","",IF(ABS($G154+IF($I154="",0,$I154)-1)&gt;0.0001,"Splits must total 100%",IF(COUNTIF('Plan setup'!$A$25:$A$34,$F154)=0,"Rep 1 not in Plan setup",IF(IF($H154="",FALSE,COUNTIF('Plan setup'!$A$25:$A$34,$H154)=0),"Rep 2 not in Plan setup",IF(COUNTIF('Plan setup'!$A$17:$A$21,$D154)=0,"Unknown deal type",IF($P154="Outside window","Clawback outside window: not reversed","OK"))))))</f>
        <v/>
      </c>
      <c r="S154">
        <f>AND(ISNUMBER($B154),OR($F154=Statement!$C$3,$H154=Statement!$C$3),OR(AND($B154&gt;=Statement!$C$6,$B154&lt;=Statement!$C$7),AND(ISNUMBER($Q154),$Q154&gt;=Statement!$C$6,$Q154&lt;=Statement!$C$7)))</f>
        <v/>
      </c>
      <c r="T154">
        <f>IF($S154,COUNTIF($S$2:$S154,TRUE),"")</f>
        <v/>
      </c>
      <c r="U154" s="17">
        <f>IF($F154=Statement!$C$3,$N154,0)+IF($H154=Statement!$C$3,$O154,0)</f>
        <v/>
      </c>
      <c r="V154" s="17">
        <f>IF(NOT($S154),0,IF(AND($B154&gt;=Statement!$C$6,$B154&lt;=Statement!$C$7),$U154,0)-IF(ISNUMBER($Q154),IF(AND($Q154&gt;=Statement!$C$6,$Q154&lt;=Statement!$C$7),$U154,0),0))</f>
        <v/>
      </c>
      <c r="W154" s="23">
        <f>IF($F154=Statement!$C$3,$G154,0)+IF($H154=Statement!$C$3,IF($I154="",0,$I154),0)</f>
        <v/>
      </c>
      <c r="X154">
        <f>IF(NOT($S154),"",IF(ISNUMBER($Q154),IF(AND($Q154&gt;=Statement!$C$6,$Q154&lt;=Statement!$C$7),"Clawback: credit reversed",""),"")&amp;IF(AND($B154&gt;=Statement!$C$6,$B154&lt;=Statement!$C$7,N($L154)&lt;1),"Partial credit: "&amp;TEXT($L154,"0%"),""))</f>
        <v/>
      </c>
    </row>
    <row r="155">
      <c r="A155" s="19" t="n"/>
      <c r="B155" s="20" t="n"/>
      <c r="C155" s="19" t="n"/>
      <c r="D155" s="19" t="n"/>
      <c r="E155" s="21" t="n"/>
      <c r="F155" s="19" t="n"/>
      <c r="G155" s="22" t="n"/>
      <c r="H155" s="19" t="n"/>
      <c r="I155" s="22" t="n"/>
      <c r="J155" s="20" t="n"/>
      <c r="K155" s="19" t="n"/>
      <c r="L155" s="23">
        <f>IF($E155="","",IFERROR(VLOOKUP($D155,'Plan setup'!$A$17:$B$21,2,FALSE),0))</f>
        <v/>
      </c>
      <c r="M155" s="17">
        <f>IF($E155="","",$E155*$L155)</f>
        <v/>
      </c>
      <c r="N155" s="17">
        <f>IF(OR($E155="",$F155=""),0,$M155*$G155)</f>
        <v/>
      </c>
      <c r="O155" s="17">
        <f>IF(OR($E155="",$H155=""),0,$M155*$I155)</f>
        <v/>
      </c>
      <c r="P155">
        <f>IF($J155="","",IF($J155-$B155&lt;='Plan setup'!$B$5,"Reversed","Outside window"))</f>
        <v/>
      </c>
      <c r="Q155" s="24">
        <f>IF($P155="Reversed",$J155,"")</f>
        <v/>
      </c>
      <c r="R155">
        <f>IF($E155="","",IF(ABS($G155+IF($I155="",0,$I155)-1)&gt;0.0001,"Splits must total 100%",IF(COUNTIF('Plan setup'!$A$25:$A$34,$F155)=0,"Rep 1 not in Plan setup",IF(IF($H155="",FALSE,COUNTIF('Plan setup'!$A$25:$A$34,$H155)=0),"Rep 2 not in Plan setup",IF(COUNTIF('Plan setup'!$A$17:$A$21,$D155)=0,"Unknown deal type",IF($P155="Outside window","Clawback outside window: not reversed","OK"))))))</f>
        <v/>
      </c>
      <c r="S155">
        <f>AND(ISNUMBER($B155),OR($F155=Statement!$C$3,$H155=Statement!$C$3),OR(AND($B155&gt;=Statement!$C$6,$B155&lt;=Statement!$C$7),AND(ISNUMBER($Q155),$Q155&gt;=Statement!$C$6,$Q155&lt;=Statement!$C$7)))</f>
        <v/>
      </c>
      <c r="T155">
        <f>IF($S155,COUNTIF($S$2:$S155,TRUE),"")</f>
        <v/>
      </c>
      <c r="U155" s="17">
        <f>IF($F155=Statement!$C$3,$N155,0)+IF($H155=Statement!$C$3,$O155,0)</f>
        <v/>
      </c>
      <c r="V155" s="17">
        <f>IF(NOT($S155),0,IF(AND($B155&gt;=Statement!$C$6,$B155&lt;=Statement!$C$7),$U155,0)-IF(ISNUMBER($Q155),IF(AND($Q155&gt;=Statement!$C$6,$Q155&lt;=Statement!$C$7),$U155,0),0))</f>
        <v/>
      </c>
      <c r="W155" s="23">
        <f>IF($F155=Statement!$C$3,$G155,0)+IF($H155=Statement!$C$3,IF($I155="",0,$I155),0)</f>
        <v/>
      </c>
      <c r="X155">
        <f>IF(NOT($S155),"",IF(ISNUMBER($Q155),IF(AND($Q155&gt;=Statement!$C$6,$Q155&lt;=Statement!$C$7),"Clawback: credit reversed",""),"")&amp;IF(AND($B155&gt;=Statement!$C$6,$B155&lt;=Statement!$C$7,N($L155)&lt;1),"Partial credit: "&amp;TEXT($L155,"0%"),""))</f>
        <v/>
      </c>
    </row>
    <row r="156">
      <c r="A156" s="19" t="n"/>
      <c r="B156" s="20" t="n"/>
      <c r="C156" s="19" t="n"/>
      <c r="D156" s="19" t="n"/>
      <c r="E156" s="21" t="n"/>
      <c r="F156" s="19" t="n"/>
      <c r="G156" s="22" t="n"/>
      <c r="H156" s="19" t="n"/>
      <c r="I156" s="22" t="n"/>
      <c r="J156" s="20" t="n"/>
      <c r="K156" s="19" t="n"/>
      <c r="L156" s="23">
        <f>IF($E156="","",IFERROR(VLOOKUP($D156,'Plan setup'!$A$17:$B$21,2,FALSE),0))</f>
        <v/>
      </c>
      <c r="M156" s="17">
        <f>IF($E156="","",$E156*$L156)</f>
        <v/>
      </c>
      <c r="N156" s="17">
        <f>IF(OR($E156="",$F156=""),0,$M156*$G156)</f>
        <v/>
      </c>
      <c r="O156" s="17">
        <f>IF(OR($E156="",$H156=""),0,$M156*$I156)</f>
        <v/>
      </c>
      <c r="P156">
        <f>IF($J156="","",IF($J156-$B156&lt;='Plan setup'!$B$5,"Reversed","Outside window"))</f>
        <v/>
      </c>
      <c r="Q156" s="24">
        <f>IF($P156="Reversed",$J156,"")</f>
        <v/>
      </c>
      <c r="R156">
        <f>IF($E156="","",IF(ABS($G156+IF($I156="",0,$I156)-1)&gt;0.0001,"Splits must total 100%",IF(COUNTIF('Plan setup'!$A$25:$A$34,$F156)=0,"Rep 1 not in Plan setup",IF(IF($H156="",FALSE,COUNTIF('Plan setup'!$A$25:$A$34,$H156)=0),"Rep 2 not in Plan setup",IF(COUNTIF('Plan setup'!$A$17:$A$21,$D156)=0,"Unknown deal type",IF($P156="Outside window","Clawback outside window: not reversed","OK"))))))</f>
        <v/>
      </c>
      <c r="S156">
        <f>AND(ISNUMBER($B156),OR($F156=Statement!$C$3,$H156=Statement!$C$3),OR(AND($B156&gt;=Statement!$C$6,$B156&lt;=Statement!$C$7),AND(ISNUMBER($Q156),$Q156&gt;=Statement!$C$6,$Q156&lt;=Statement!$C$7)))</f>
        <v/>
      </c>
      <c r="T156">
        <f>IF($S156,COUNTIF($S$2:$S156,TRUE),"")</f>
        <v/>
      </c>
      <c r="U156" s="17">
        <f>IF($F156=Statement!$C$3,$N156,0)+IF($H156=Statement!$C$3,$O156,0)</f>
        <v/>
      </c>
      <c r="V156" s="17">
        <f>IF(NOT($S156),0,IF(AND($B156&gt;=Statement!$C$6,$B156&lt;=Statement!$C$7),$U156,0)-IF(ISNUMBER($Q156),IF(AND($Q156&gt;=Statement!$C$6,$Q156&lt;=Statement!$C$7),$U156,0),0))</f>
        <v/>
      </c>
      <c r="W156" s="23">
        <f>IF($F156=Statement!$C$3,$G156,0)+IF($H156=Statement!$C$3,IF($I156="",0,$I156),0)</f>
        <v/>
      </c>
      <c r="X156">
        <f>IF(NOT($S156),"",IF(ISNUMBER($Q156),IF(AND($Q156&gt;=Statement!$C$6,$Q156&lt;=Statement!$C$7),"Clawback: credit reversed",""),"")&amp;IF(AND($B156&gt;=Statement!$C$6,$B156&lt;=Statement!$C$7,N($L156)&lt;1),"Partial credit: "&amp;TEXT($L156,"0%"),""))</f>
        <v/>
      </c>
    </row>
    <row r="157">
      <c r="A157" s="19" t="n"/>
      <c r="B157" s="20" t="n"/>
      <c r="C157" s="19" t="n"/>
      <c r="D157" s="19" t="n"/>
      <c r="E157" s="21" t="n"/>
      <c r="F157" s="19" t="n"/>
      <c r="G157" s="22" t="n"/>
      <c r="H157" s="19" t="n"/>
      <c r="I157" s="22" t="n"/>
      <c r="J157" s="20" t="n"/>
      <c r="K157" s="19" t="n"/>
      <c r="L157" s="23">
        <f>IF($E157="","",IFERROR(VLOOKUP($D157,'Plan setup'!$A$17:$B$21,2,FALSE),0))</f>
        <v/>
      </c>
      <c r="M157" s="17">
        <f>IF($E157="","",$E157*$L157)</f>
        <v/>
      </c>
      <c r="N157" s="17">
        <f>IF(OR($E157="",$F157=""),0,$M157*$G157)</f>
        <v/>
      </c>
      <c r="O157" s="17">
        <f>IF(OR($E157="",$H157=""),0,$M157*$I157)</f>
        <v/>
      </c>
      <c r="P157">
        <f>IF($J157="","",IF($J157-$B157&lt;='Plan setup'!$B$5,"Reversed","Outside window"))</f>
        <v/>
      </c>
      <c r="Q157" s="24">
        <f>IF($P157="Reversed",$J157,"")</f>
        <v/>
      </c>
      <c r="R157">
        <f>IF($E157="","",IF(ABS($G157+IF($I157="",0,$I157)-1)&gt;0.0001,"Splits must total 100%",IF(COUNTIF('Plan setup'!$A$25:$A$34,$F157)=0,"Rep 1 not in Plan setup",IF(IF($H157="",FALSE,COUNTIF('Plan setup'!$A$25:$A$34,$H157)=0),"Rep 2 not in Plan setup",IF(COUNTIF('Plan setup'!$A$17:$A$21,$D157)=0,"Unknown deal type",IF($P157="Outside window","Clawback outside window: not reversed","OK"))))))</f>
        <v/>
      </c>
      <c r="S157">
        <f>AND(ISNUMBER($B157),OR($F157=Statement!$C$3,$H157=Statement!$C$3),OR(AND($B157&gt;=Statement!$C$6,$B157&lt;=Statement!$C$7),AND(ISNUMBER($Q157),$Q157&gt;=Statement!$C$6,$Q157&lt;=Statement!$C$7)))</f>
        <v/>
      </c>
      <c r="T157">
        <f>IF($S157,COUNTIF($S$2:$S157,TRUE),"")</f>
        <v/>
      </c>
      <c r="U157" s="17">
        <f>IF($F157=Statement!$C$3,$N157,0)+IF($H157=Statement!$C$3,$O157,0)</f>
        <v/>
      </c>
      <c r="V157" s="17">
        <f>IF(NOT($S157),0,IF(AND($B157&gt;=Statement!$C$6,$B157&lt;=Statement!$C$7),$U157,0)-IF(ISNUMBER($Q157),IF(AND($Q157&gt;=Statement!$C$6,$Q157&lt;=Statement!$C$7),$U157,0),0))</f>
        <v/>
      </c>
      <c r="W157" s="23">
        <f>IF($F157=Statement!$C$3,$G157,0)+IF($H157=Statement!$C$3,IF($I157="",0,$I157),0)</f>
        <v/>
      </c>
      <c r="X157">
        <f>IF(NOT($S157),"",IF(ISNUMBER($Q157),IF(AND($Q157&gt;=Statement!$C$6,$Q157&lt;=Statement!$C$7),"Clawback: credit reversed",""),"")&amp;IF(AND($B157&gt;=Statement!$C$6,$B157&lt;=Statement!$C$7,N($L157)&lt;1),"Partial credit: "&amp;TEXT($L157,"0%"),""))</f>
        <v/>
      </c>
    </row>
    <row r="158">
      <c r="A158" s="19" t="n"/>
      <c r="B158" s="20" t="n"/>
      <c r="C158" s="19" t="n"/>
      <c r="D158" s="19" t="n"/>
      <c r="E158" s="21" t="n"/>
      <c r="F158" s="19" t="n"/>
      <c r="G158" s="22" t="n"/>
      <c r="H158" s="19" t="n"/>
      <c r="I158" s="22" t="n"/>
      <c r="J158" s="20" t="n"/>
      <c r="K158" s="19" t="n"/>
      <c r="L158" s="23">
        <f>IF($E158="","",IFERROR(VLOOKUP($D158,'Plan setup'!$A$17:$B$21,2,FALSE),0))</f>
        <v/>
      </c>
      <c r="M158" s="17">
        <f>IF($E158="","",$E158*$L158)</f>
        <v/>
      </c>
      <c r="N158" s="17">
        <f>IF(OR($E158="",$F158=""),0,$M158*$G158)</f>
        <v/>
      </c>
      <c r="O158" s="17">
        <f>IF(OR($E158="",$H158=""),0,$M158*$I158)</f>
        <v/>
      </c>
      <c r="P158">
        <f>IF($J158="","",IF($J158-$B158&lt;='Plan setup'!$B$5,"Reversed","Outside window"))</f>
        <v/>
      </c>
      <c r="Q158" s="24">
        <f>IF($P158="Reversed",$J158,"")</f>
        <v/>
      </c>
      <c r="R158">
        <f>IF($E158="","",IF(ABS($G158+IF($I158="",0,$I158)-1)&gt;0.0001,"Splits must total 100%",IF(COUNTIF('Plan setup'!$A$25:$A$34,$F158)=0,"Rep 1 not in Plan setup",IF(IF($H158="",FALSE,COUNTIF('Plan setup'!$A$25:$A$34,$H158)=0),"Rep 2 not in Plan setup",IF(COUNTIF('Plan setup'!$A$17:$A$21,$D158)=0,"Unknown deal type",IF($P158="Outside window","Clawback outside window: not reversed","OK"))))))</f>
        <v/>
      </c>
      <c r="S158">
        <f>AND(ISNUMBER($B158),OR($F158=Statement!$C$3,$H158=Statement!$C$3),OR(AND($B158&gt;=Statement!$C$6,$B158&lt;=Statement!$C$7),AND(ISNUMBER($Q158),$Q158&gt;=Statement!$C$6,$Q158&lt;=Statement!$C$7)))</f>
        <v/>
      </c>
      <c r="T158">
        <f>IF($S158,COUNTIF($S$2:$S158,TRUE),"")</f>
        <v/>
      </c>
      <c r="U158" s="17">
        <f>IF($F158=Statement!$C$3,$N158,0)+IF($H158=Statement!$C$3,$O158,0)</f>
        <v/>
      </c>
      <c r="V158" s="17">
        <f>IF(NOT($S158),0,IF(AND($B158&gt;=Statement!$C$6,$B158&lt;=Statement!$C$7),$U158,0)-IF(ISNUMBER($Q158),IF(AND($Q158&gt;=Statement!$C$6,$Q158&lt;=Statement!$C$7),$U158,0),0))</f>
        <v/>
      </c>
      <c r="W158" s="23">
        <f>IF($F158=Statement!$C$3,$G158,0)+IF($H158=Statement!$C$3,IF($I158="",0,$I158),0)</f>
        <v/>
      </c>
      <c r="X158">
        <f>IF(NOT($S158),"",IF(ISNUMBER($Q158),IF(AND($Q158&gt;=Statement!$C$6,$Q158&lt;=Statement!$C$7),"Clawback: credit reversed",""),"")&amp;IF(AND($B158&gt;=Statement!$C$6,$B158&lt;=Statement!$C$7,N($L158)&lt;1),"Partial credit: "&amp;TEXT($L158,"0%"),""))</f>
        <v/>
      </c>
    </row>
    <row r="159">
      <c r="A159" s="19" t="n"/>
      <c r="B159" s="20" t="n"/>
      <c r="C159" s="19" t="n"/>
      <c r="D159" s="19" t="n"/>
      <c r="E159" s="21" t="n"/>
      <c r="F159" s="19" t="n"/>
      <c r="G159" s="22" t="n"/>
      <c r="H159" s="19" t="n"/>
      <c r="I159" s="22" t="n"/>
      <c r="J159" s="20" t="n"/>
      <c r="K159" s="19" t="n"/>
      <c r="L159" s="23">
        <f>IF($E159="","",IFERROR(VLOOKUP($D159,'Plan setup'!$A$17:$B$21,2,FALSE),0))</f>
        <v/>
      </c>
      <c r="M159" s="17">
        <f>IF($E159="","",$E159*$L159)</f>
        <v/>
      </c>
      <c r="N159" s="17">
        <f>IF(OR($E159="",$F159=""),0,$M159*$G159)</f>
        <v/>
      </c>
      <c r="O159" s="17">
        <f>IF(OR($E159="",$H159=""),0,$M159*$I159)</f>
        <v/>
      </c>
      <c r="P159">
        <f>IF($J159="","",IF($J159-$B159&lt;='Plan setup'!$B$5,"Reversed","Outside window"))</f>
        <v/>
      </c>
      <c r="Q159" s="24">
        <f>IF($P159="Reversed",$J159,"")</f>
        <v/>
      </c>
      <c r="R159">
        <f>IF($E159="","",IF(ABS($G159+IF($I159="",0,$I159)-1)&gt;0.0001,"Splits must total 100%",IF(COUNTIF('Plan setup'!$A$25:$A$34,$F159)=0,"Rep 1 not in Plan setup",IF(IF($H159="",FALSE,COUNTIF('Plan setup'!$A$25:$A$34,$H159)=0),"Rep 2 not in Plan setup",IF(COUNTIF('Plan setup'!$A$17:$A$21,$D159)=0,"Unknown deal type",IF($P159="Outside window","Clawback outside window: not reversed","OK"))))))</f>
        <v/>
      </c>
      <c r="S159">
        <f>AND(ISNUMBER($B159),OR($F159=Statement!$C$3,$H159=Statement!$C$3),OR(AND($B159&gt;=Statement!$C$6,$B159&lt;=Statement!$C$7),AND(ISNUMBER($Q159),$Q159&gt;=Statement!$C$6,$Q159&lt;=Statement!$C$7)))</f>
        <v/>
      </c>
      <c r="T159">
        <f>IF($S159,COUNTIF($S$2:$S159,TRUE),"")</f>
        <v/>
      </c>
      <c r="U159" s="17">
        <f>IF($F159=Statement!$C$3,$N159,0)+IF($H159=Statement!$C$3,$O159,0)</f>
        <v/>
      </c>
      <c r="V159" s="17">
        <f>IF(NOT($S159),0,IF(AND($B159&gt;=Statement!$C$6,$B159&lt;=Statement!$C$7),$U159,0)-IF(ISNUMBER($Q159),IF(AND($Q159&gt;=Statement!$C$6,$Q159&lt;=Statement!$C$7),$U159,0),0))</f>
        <v/>
      </c>
      <c r="W159" s="23">
        <f>IF($F159=Statement!$C$3,$G159,0)+IF($H159=Statement!$C$3,IF($I159="",0,$I159),0)</f>
        <v/>
      </c>
      <c r="X159">
        <f>IF(NOT($S159),"",IF(ISNUMBER($Q159),IF(AND($Q159&gt;=Statement!$C$6,$Q159&lt;=Statement!$C$7),"Clawback: credit reversed",""),"")&amp;IF(AND($B159&gt;=Statement!$C$6,$B159&lt;=Statement!$C$7,N($L159)&lt;1),"Partial credit: "&amp;TEXT($L159,"0%"),""))</f>
        <v/>
      </c>
    </row>
    <row r="160">
      <c r="A160" s="19" t="n"/>
      <c r="B160" s="20" t="n"/>
      <c r="C160" s="19" t="n"/>
      <c r="D160" s="19" t="n"/>
      <c r="E160" s="21" t="n"/>
      <c r="F160" s="19" t="n"/>
      <c r="G160" s="22" t="n"/>
      <c r="H160" s="19" t="n"/>
      <c r="I160" s="22" t="n"/>
      <c r="J160" s="20" t="n"/>
      <c r="K160" s="19" t="n"/>
      <c r="L160" s="23">
        <f>IF($E160="","",IFERROR(VLOOKUP($D160,'Plan setup'!$A$17:$B$21,2,FALSE),0))</f>
        <v/>
      </c>
      <c r="M160" s="17">
        <f>IF($E160="","",$E160*$L160)</f>
        <v/>
      </c>
      <c r="N160" s="17">
        <f>IF(OR($E160="",$F160=""),0,$M160*$G160)</f>
        <v/>
      </c>
      <c r="O160" s="17">
        <f>IF(OR($E160="",$H160=""),0,$M160*$I160)</f>
        <v/>
      </c>
      <c r="P160">
        <f>IF($J160="","",IF($J160-$B160&lt;='Plan setup'!$B$5,"Reversed","Outside window"))</f>
        <v/>
      </c>
      <c r="Q160" s="24">
        <f>IF($P160="Reversed",$J160,"")</f>
        <v/>
      </c>
      <c r="R160">
        <f>IF($E160="","",IF(ABS($G160+IF($I160="",0,$I160)-1)&gt;0.0001,"Splits must total 100%",IF(COUNTIF('Plan setup'!$A$25:$A$34,$F160)=0,"Rep 1 not in Plan setup",IF(IF($H160="",FALSE,COUNTIF('Plan setup'!$A$25:$A$34,$H160)=0),"Rep 2 not in Plan setup",IF(COUNTIF('Plan setup'!$A$17:$A$21,$D160)=0,"Unknown deal type",IF($P160="Outside window","Clawback outside window: not reversed","OK"))))))</f>
        <v/>
      </c>
      <c r="S160">
        <f>AND(ISNUMBER($B160),OR($F160=Statement!$C$3,$H160=Statement!$C$3),OR(AND($B160&gt;=Statement!$C$6,$B160&lt;=Statement!$C$7),AND(ISNUMBER($Q160),$Q160&gt;=Statement!$C$6,$Q160&lt;=Statement!$C$7)))</f>
        <v/>
      </c>
      <c r="T160">
        <f>IF($S160,COUNTIF($S$2:$S160,TRUE),"")</f>
        <v/>
      </c>
      <c r="U160" s="17">
        <f>IF($F160=Statement!$C$3,$N160,0)+IF($H160=Statement!$C$3,$O160,0)</f>
        <v/>
      </c>
      <c r="V160" s="17">
        <f>IF(NOT($S160),0,IF(AND($B160&gt;=Statement!$C$6,$B160&lt;=Statement!$C$7),$U160,0)-IF(ISNUMBER($Q160),IF(AND($Q160&gt;=Statement!$C$6,$Q160&lt;=Statement!$C$7),$U160,0),0))</f>
        <v/>
      </c>
      <c r="W160" s="23">
        <f>IF($F160=Statement!$C$3,$G160,0)+IF($H160=Statement!$C$3,IF($I160="",0,$I160),0)</f>
        <v/>
      </c>
      <c r="X160">
        <f>IF(NOT($S160),"",IF(ISNUMBER($Q160),IF(AND($Q160&gt;=Statement!$C$6,$Q160&lt;=Statement!$C$7),"Clawback: credit reversed",""),"")&amp;IF(AND($B160&gt;=Statement!$C$6,$B160&lt;=Statement!$C$7,N($L160)&lt;1),"Partial credit: "&amp;TEXT($L160,"0%"),""))</f>
        <v/>
      </c>
    </row>
    <row r="161">
      <c r="A161" s="19" t="n"/>
      <c r="B161" s="20" t="n"/>
      <c r="C161" s="19" t="n"/>
      <c r="D161" s="19" t="n"/>
      <c r="E161" s="21" t="n"/>
      <c r="F161" s="19" t="n"/>
      <c r="G161" s="22" t="n"/>
      <c r="H161" s="19" t="n"/>
      <c r="I161" s="22" t="n"/>
      <c r="J161" s="20" t="n"/>
      <c r="K161" s="19" t="n"/>
      <c r="L161" s="23">
        <f>IF($E161="","",IFERROR(VLOOKUP($D161,'Plan setup'!$A$17:$B$21,2,FALSE),0))</f>
        <v/>
      </c>
      <c r="M161" s="17">
        <f>IF($E161="","",$E161*$L161)</f>
        <v/>
      </c>
      <c r="N161" s="17">
        <f>IF(OR($E161="",$F161=""),0,$M161*$G161)</f>
        <v/>
      </c>
      <c r="O161" s="17">
        <f>IF(OR($E161="",$H161=""),0,$M161*$I161)</f>
        <v/>
      </c>
      <c r="P161">
        <f>IF($J161="","",IF($J161-$B161&lt;='Plan setup'!$B$5,"Reversed","Outside window"))</f>
        <v/>
      </c>
      <c r="Q161" s="24">
        <f>IF($P161="Reversed",$J161,"")</f>
        <v/>
      </c>
      <c r="R161">
        <f>IF($E161="","",IF(ABS($G161+IF($I161="",0,$I161)-1)&gt;0.0001,"Splits must total 100%",IF(COUNTIF('Plan setup'!$A$25:$A$34,$F161)=0,"Rep 1 not in Plan setup",IF(IF($H161="",FALSE,COUNTIF('Plan setup'!$A$25:$A$34,$H161)=0),"Rep 2 not in Plan setup",IF(COUNTIF('Plan setup'!$A$17:$A$21,$D161)=0,"Unknown deal type",IF($P161="Outside window","Clawback outside window: not reversed","OK"))))))</f>
        <v/>
      </c>
      <c r="S161">
        <f>AND(ISNUMBER($B161),OR($F161=Statement!$C$3,$H161=Statement!$C$3),OR(AND($B161&gt;=Statement!$C$6,$B161&lt;=Statement!$C$7),AND(ISNUMBER($Q161),$Q161&gt;=Statement!$C$6,$Q161&lt;=Statement!$C$7)))</f>
        <v/>
      </c>
      <c r="T161">
        <f>IF($S161,COUNTIF($S$2:$S161,TRUE),"")</f>
        <v/>
      </c>
      <c r="U161" s="17">
        <f>IF($F161=Statement!$C$3,$N161,0)+IF($H161=Statement!$C$3,$O161,0)</f>
        <v/>
      </c>
      <c r="V161" s="17">
        <f>IF(NOT($S161),0,IF(AND($B161&gt;=Statement!$C$6,$B161&lt;=Statement!$C$7),$U161,0)-IF(ISNUMBER($Q161),IF(AND($Q161&gt;=Statement!$C$6,$Q161&lt;=Statement!$C$7),$U161,0),0))</f>
        <v/>
      </c>
      <c r="W161" s="23">
        <f>IF($F161=Statement!$C$3,$G161,0)+IF($H161=Statement!$C$3,IF($I161="",0,$I161),0)</f>
        <v/>
      </c>
      <c r="X161">
        <f>IF(NOT($S161),"",IF(ISNUMBER($Q161),IF(AND($Q161&gt;=Statement!$C$6,$Q161&lt;=Statement!$C$7),"Clawback: credit reversed",""),"")&amp;IF(AND($B161&gt;=Statement!$C$6,$B161&lt;=Statement!$C$7,N($L161)&lt;1),"Partial credit: "&amp;TEXT($L161,"0%"),""))</f>
        <v/>
      </c>
    </row>
    <row r="162">
      <c r="A162" s="19" t="n"/>
      <c r="B162" s="20" t="n"/>
      <c r="C162" s="19" t="n"/>
      <c r="D162" s="19" t="n"/>
      <c r="E162" s="21" t="n"/>
      <c r="F162" s="19" t="n"/>
      <c r="G162" s="22" t="n"/>
      <c r="H162" s="19" t="n"/>
      <c r="I162" s="22" t="n"/>
      <c r="J162" s="20" t="n"/>
      <c r="K162" s="19" t="n"/>
      <c r="L162" s="23">
        <f>IF($E162="","",IFERROR(VLOOKUP($D162,'Plan setup'!$A$17:$B$21,2,FALSE),0))</f>
        <v/>
      </c>
      <c r="M162" s="17">
        <f>IF($E162="","",$E162*$L162)</f>
        <v/>
      </c>
      <c r="N162" s="17">
        <f>IF(OR($E162="",$F162=""),0,$M162*$G162)</f>
        <v/>
      </c>
      <c r="O162" s="17">
        <f>IF(OR($E162="",$H162=""),0,$M162*$I162)</f>
        <v/>
      </c>
      <c r="P162">
        <f>IF($J162="","",IF($J162-$B162&lt;='Plan setup'!$B$5,"Reversed","Outside window"))</f>
        <v/>
      </c>
      <c r="Q162" s="24">
        <f>IF($P162="Reversed",$J162,"")</f>
        <v/>
      </c>
      <c r="R162">
        <f>IF($E162="","",IF(ABS($G162+IF($I162="",0,$I162)-1)&gt;0.0001,"Splits must total 100%",IF(COUNTIF('Plan setup'!$A$25:$A$34,$F162)=0,"Rep 1 not in Plan setup",IF(IF($H162="",FALSE,COUNTIF('Plan setup'!$A$25:$A$34,$H162)=0),"Rep 2 not in Plan setup",IF(COUNTIF('Plan setup'!$A$17:$A$21,$D162)=0,"Unknown deal type",IF($P162="Outside window","Clawback outside window: not reversed","OK"))))))</f>
        <v/>
      </c>
      <c r="S162">
        <f>AND(ISNUMBER($B162),OR($F162=Statement!$C$3,$H162=Statement!$C$3),OR(AND($B162&gt;=Statement!$C$6,$B162&lt;=Statement!$C$7),AND(ISNUMBER($Q162),$Q162&gt;=Statement!$C$6,$Q162&lt;=Statement!$C$7)))</f>
        <v/>
      </c>
      <c r="T162">
        <f>IF($S162,COUNTIF($S$2:$S162,TRUE),"")</f>
        <v/>
      </c>
      <c r="U162" s="17">
        <f>IF($F162=Statement!$C$3,$N162,0)+IF($H162=Statement!$C$3,$O162,0)</f>
        <v/>
      </c>
      <c r="V162" s="17">
        <f>IF(NOT($S162),0,IF(AND($B162&gt;=Statement!$C$6,$B162&lt;=Statement!$C$7),$U162,0)-IF(ISNUMBER($Q162),IF(AND($Q162&gt;=Statement!$C$6,$Q162&lt;=Statement!$C$7),$U162,0),0))</f>
        <v/>
      </c>
      <c r="W162" s="23">
        <f>IF($F162=Statement!$C$3,$G162,0)+IF($H162=Statement!$C$3,IF($I162="",0,$I162),0)</f>
        <v/>
      </c>
      <c r="X162">
        <f>IF(NOT($S162),"",IF(ISNUMBER($Q162),IF(AND($Q162&gt;=Statement!$C$6,$Q162&lt;=Statement!$C$7),"Clawback: credit reversed",""),"")&amp;IF(AND($B162&gt;=Statement!$C$6,$B162&lt;=Statement!$C$7,N($L162)&lt;1),"Partial credit: "&amp;TEXT($L162,"0%"),""))</f>
        <v/>
      </c>
    </row>
    <row r="163">
      <c r="A163" s="19" t="n"/>
      <c r="B163" s="20" t="n"/>
      <c r="C163" s="19" t="n"/>
      <c r="D163" s="19" t="n"/>
      <c r="E163" s="21" t="n"/>
      <c r="F163" s="19" t="n"/>
      <c r="G163" s="22" t="n"/>
      <c r="H163" s="19" t="n"/>
      <c r="I163" s="22" t="n"/>
      <c r="J163" s="20" t="n"/>
      <c r="K163" s="19" t="n"/>
      <c r="L163" s="23">
        <f>IF($E163="","",IFERROR(VLOOKUP($D163,'Plan setup'!$A$17:$B$21,2,FALSE),0))</f>
        <v/>
      </c>
      <c r="M163" s="17">
        <f>IF($E163="","",$E163*$L163)</f>
        <v/>
      </c>
      <c r="N163" s="17">
        <f>IF(OR($E163="",$F163=""),0,$M163*$G163)</f>
        <v/>
      </c>
      <c r="O163" s="17">
        <f>IF(OR($E163="",$H163=""),0,$M163*$I163)</f>
        <v/>
      </c>
      <c r="P163">
        <f>IF($J163="","",IF($J163-$B163&lt;='Plan setup'!$B$5,"Reversed","Outside window"))</f>
        <v/>
      </c>
      <c r="Q163" s="24">
        <f>IF($P163="Reversed",$J163,"")</f>
        <v/>
      </c>
      <c r="R163">
        <f>IF($E163="","",IF(ABS($G163+IF($I163="",0,$I163)-1)&gt;0.0001,"Splits must total 100%",IF(COUNTIF('Plan setup'!$A$25:$A$34,$F163)=0,"Rep 1 not in Plan setup",IF(IF($H163="",FALSE,COUNTIF('Plan setup'!$A$25:$A$34,$H163)=0),"Rep 2 not in Plan setup",IF(COUNTIF('Plan setup'!$A$17:$A$21,$D163)=0,"Unknown deal type",IF($P163="Outside window","Clawback outside window: not reversed","OK"))))))</f>
        <v/>
      </c>
      <c r="S163">
        <f>AND(ISNUMBER($B163),OR($F163=Statement!$C$3,$H163=Statement!$C$3),OR(AND($B163&gt;=Statement!$C$6,$B163&lt;=Statement!$C$7),AND(ISNUMBER($Q163),$Q163&gt;=Statement!$C$6,$Q163&lt;=Statement!$C$7)))</f>
        <v/>
      </c>
      <c r="T163">
        <f>IF($S163,COUNTIF($S$2:$S163,TRUE),"")</f>
        <v/>
      </c>
      <c r="U163" s="17">
        <f>IF($F163=Statement!$C$3,$N163,0)+IF($H163=Statement!$C$3,$O163,0)</f>
        <v/>
      </c>
      <c r="V163" s="17">
        <f>IF(NOT($S163),0,IF(AND($B163&gt;=Statement!$C$6,$B163&lt;=Statement!$C$7),$U163,0)-IF(ISNUMBER($Q163),IF(AND($Q163&gt;=Statement!$C$6,$Q163&lt;=Statement!$C$7),$U163,0),0))</f>
        <v/>
      </c>
      <c r="W163" s="23">
        <f>IF($F163=Statement!$C$3,$G163,0)+IF($H163=Statement!$C$3,IF($I163="",0,$I163),0)</f>
        <v/>
      </c>
      <c r="X163">
        <f>IF(NOT($S163),"",IF(ISNUMBER($Q163),IF(AND($Q163&gt;=Statement!$C$6,$Q163&lt;=Statement!$C$7),"Clawback: credit reversed",""),"")&amp;IF(AND($B163&gt;=Statement!$C$6,$B163&lt;=Statement!$C$7,N($L163)&lt;1),"Partial credit: "&amp;TEXT($L163,"0%"),""))</f>
        <v/>
      </c>
    </row>
    <row r="164">
      <c r="A164" s="19" t="n"/>
      <c r="B164" s="20" t="n"/>
      <c r="C164" s="19" t="n"/>
      <c r="D164" s="19" t="n"/>
      <c r="E164" s="21" t="n"/>
      <c r="F164" s="19" t="n"/>
      <c r="G164" s="22" t="n"/>
      <c r="H164" s="19" t="n"/>
      <c r="I164" s="22" t="n"/>
      <c r="J164" s="20" t="n"/>
      <c r="K164" s="19" t="n"/>
      <c r="L164" s="23">
        <f>IF($E164="","",IFERROR(VLOOKUP($D164,'Plan setup'!$A$17:$B$21,2,FALSE),0))</f>
        <v/>
      </c>
      <c r="M164" s="17">
        <f>IF($E164="","",$E164*$L164)</f>
        <v/>
      </c>
      <c r="N164" s="17">
        <f>IF(OR($E164="",$F164=""),0,$M164*$G164)</f>
        <v/>
      </c>
      <c r="O164" s="17">
        <f>IF(OR($E164="",$H164=""),0,$M164*$I164)</f>
        <v/>
      </c>
      <c r="P164">
        <f>IF($J164="","",IF($J164-$B164&lt;='Plan setup'!$B$5,"Reversed","Outside window"))</f>
        <v/>
      </c>
      <c r="Q164" s="24">
        <f>IF($P164="Reversed",$J164,"")</f>
        <v/>
      </c>
      <c r="R164">
        <f>IF($E164="","",IF(ABS($G164+IF($I164="",0,$I164)-1)&gt;0.0001,"Splits must total 100%",IF(COUNTIF('Plan setup'!$A$25:$A$34,$F164)=0,"Rep 1 not in Plan setup",IF(IF($H164="",FALSE,COUNTIF('Plan setup'!$A$25:$A$34,$H164)=0),"Rep 2 not in Plan setup",IF(COUNTIF('Plan setup'!$A$17:$A$21,$D164)=0,"Unknown deal type",IF($P164="Outside window","Clawback outside window: not reversed","OK"))))))</f>
        <v/>
      </c>
      <c r="S164">
        <f>AND(ISNUMBER($B164),OR($F164=Statement!$C$3,$H164=Statement!$C$3),OR(AND($B164&gt;=Statement!$C$6,$B164&lt;=Statement!$C$7),AND(ISNUMBER($Q164),$Q164&gt;=Statement!$C$6,$Q164&lt;=Statement!$C$7)))</f>
        <v/>
      </c>
      <c r="T164">
        <f>IF($S164,COUNTIF($S$2:$S164,TRUE),"")</f>
        <v/>
      </c>
      <c r="U164" s="17">
        <f>IF($F164=Statement!$C$3,$N164,0)+IF($H164=Statement!$C$3,$O164,0)</f>
        <v/>
      </c>
      <c r="V164" s="17">
        <f>IF(NOT($S164),0,IF(AND($B164&gt;=Statement!$C$6,$B164&lt;=Statement!$C$7),$U164,0)-IF(ISNUMBER($Q164),IF(AND($Q164&gt;=Statement!$C$6,$Q164&lt;=Statement!$C$7),$U164,0),0))</f>
        <v/>
      </c>
      <c r="W164" s="23">
        <f>IF($F164=Statement!$C$3,$G164,0)+IF($H164=Statement!$C$3,IF($I164="",0,$I164),0)</f>
        <v/>
      </c>
      <c r="X164">
        <f>IF(NOT($S164),"",IF(ISNUMBER($Q164),IF(AND($Q164&gt;=Statement!$C$6,$Q164&lt;=Statement!$C$7),"Clawback: credit reversed",""),"")&amp;IF(AND($B164&gt;=Statement!$C$6,$B164&lt;=Statement!$C$7,N($L164)&lt;1),"Partial credit: "&amp;TEXT($L164,"0%"),""))</f>
        <v/>
      </c>
    </row>
    <row r="165">
      <c r="A165" s="19" t="n"/>
      <c r="B165" s="20" t="n"/>
      <c r="C165" s="19" t="n"/>
      <c r="D165" s="19" t="n"/>
      <c r="E165" s="21" t="n"/>
      <c r="F165" s="19" t="n"/>
      <c r="G165" s="22" t="n"/>
      <c r="H165" s="19" t="n"/>
      <c r="I165" s="22" t="n"/>
      <c r="J165" s="20" t="n"/>
      <c r="K165" s="19" t="n"/>
      <c r="L165" s="23">
        <f>IF($E165="","",IFERROR(VLOOKUP($D165,'Plan setup'!$A$17:$B$21,2,FALSE),0))</f>
        <v/>
      </c>
      <c r="M165" s="17">
        <f>IF($E165="","",$E165*$L165)</f>
        <v/>
      </c>
      <c r="N165" s="17">
        <f>IF(OR($E165="",$F165=""),0,$M165*$G165)</f>
        <v/>
      </c>
      <c r="O165" s="17">
        <f>IF(OR($E165="",$H165=""),0,$M165*$I165)</f>
        <v/>
      </c>
      <c r="P165">
        <f>IF($J165="","",IF($J165-$B165&lt;='Plan setup'!$B$5,"Reversed","Outside window"))</f>
        <v/>
      </c>
      <c r="Q165" s="24">
        <f>IF($P165="Reversed",$J165,"")</f>
        <v/>
      </c>
      <c r="R165">
        <f>IF($E165="","",IF(ABS($G165+IF($I165="",0,$I165)-1)&gt;0.0001,"Splits must total 100%",IF(COUNTIF('Plan setup'!$A$25:$A$34,$F165)=0,"Rep 1 not in Plan setup",IF(IF($H165="",FALSE,COUNTIF('Plan setup'!$A$25:$A$34,$H165)=0),"Rep 2 not in Plan setup",IF(COUNTIF('Plan setup'!$A$17:$A$21,$D165)=0,"Unknown deal type",IF($P165="Outside window","Clawback outside window: not reversed","OK"))))))</f>
        <v/>
      </c>
      <c r="S165">
        <f>AND(ISNUMBER($B165),OR($F165=Statement!$C$3,$H165=Statement!$C$3),OR(AND($B165&gt;=Statement!$C$6,$B165&lt;=Statement!$C$7),AND(ISNUMBER($Q165),$Q165&gt;=Statement!$C$6,$Q165&lt;=Statement!$C$7)))</f>
        <v/>
      </c>
      <c r="T165">
        <f>IF($S165,COUNTIF($S$2:$S165,TRUE),"")</f>
        <v/>
      </c>
      <c r="U165" s="17">
        <f>IF($F165=Statement!$C$3,$N165,0)+IF($H165=Statement!$C$3,$O165,0)</f>
        <v/>
      </c>
      <c r="V165" s="17">
        <f>IF(NOT($S165),0,IF(AND($B165&gt;=Statement!$C$6,$B165&lt;=Statement!$C$7),$U165,0)-IF(ISNUMBER($Q165),IF(AND($Q165&gt;=Statement!$C$6,$Q165&lt;=Statement!$C$7),$U165,0),0))</f>
        <v/>
      </c>
      <c r="W165" s="23">
        <f>IF($F165=Statement!$C$3,$G165,0)+IF($H165=Statement!$C$3,IF($I165="",0,$I165),0)</f>
        <v/>
      </c>
      <c r="X165">
        <f>IF(NOT($S165),"",IF(ISNUMBER($Q165),IF(AND($Q165&gt;=Statement!$C$6,$Q165&lt;=Statement!$C$7),"Clawback: credit reversed",""),"")&amp;IF(AND($B165&gt;=Statement!$C$6,$B165&lt;=Statement!$C$7,N($L165)&lt;1),"Partial credit: "&amp;TEXT($L165,"0%"),""))</f>
        <v/>
      </c>
    </row>
    <row r="166">
      <c r="A166" s="19" t="n"/>
      <c r="B166" s="20" t="n"/>
      <c r="C166" s="19" t="n"/>
      <c r="D166" s="19" t="n"/>
      <c r="E166" s="21" t="n"/>
      <c r="F166" s="19" t="n"/>
      <c r="G166" s="22" t="n"/>
      <c r="H166" s="19" t="n"/>
      <c r="I166" s="22" t="n"/>
      <c r="J166" s="20" t="n"/>
      <c r="K166" s="19" t="n"/>
      <c r="L166" s="23">
        <f>IF($E166="","",IFERROR(VLOOKUP($D166,'Plan setup'!$A$17:$B$21,2,FALSE),0))</f>
        <v/>
      </c>
      <c r="M166" s="17">
        <f>IF($E166="","",$E166*$L166)</f>
        <v/>
      </c>
      <c r="N166" s="17">
        <f>IF(OR($E166="",$F166=""),0,$M166*$G166)</f>
        <v/>
      </c>
      <c r="O166" s="17">
        <f>IF(OR($E166="",$H166=""),0,$M166*$I166)</f>
        <v/>
      </c>
      <c r="P166">
        <f>IF($J166="","",IF($J166-$B166&lt;='Plan setup'!$B$5,"Reversed","Outside window"))</f>
        <v/>
      </c>
      <c r="Q166" s="24">
        <f>IF($P166="Reversed",$J166,"")</f>
        <v/>
      </c>
      <c r="R166">
        <f>IF($E166="","",IF(ABS($G166+IF($I166="",0,$I166)-1)&gt;0.0001,"Splits must total 100%",IF(COUNTIF('Plan setup'!$A$25:$A$34,$F166)=0,"Rep 1 not in Plan setup",IF(IF($H166="",FALSE,COUNTIF('Plan setup'!$A$25:$A$34,$H166)=0),"Rep 2 not in Plan setup",IF(COUNTIF('Plan setup'!$A$17:$A$21,$D166)=0,"Unknown deal type",IF($P166="Outside window","Clawback outside window: not reversed","OK"))))))</f>
        <v/>
      </c>
      <c r="S166">
        <f>AND(ISNUMBER($B166),OR($F166=Statement!$C$3,$H166=Statement!$C$3),OR(AND($B166&gt;=Statement!$C$6,$B166&lt;=Statement!$C$7),AND(ISNUMBER($Q166),$Q166&gt;=Statement!$C$6,$Q166&lt;=Statement!$C$7)))</f>
        <v/>
      </c>
      <c r="T166">
        <f>IF($S166,COUNTIF($S$2:$S166,TRUE),"")</f>
        <v/>
      </c>
      <c r="U166" s="17">
        <f>IF($F166=Statement!$C$3,$N166,0)+IF($H166=Statement!$C$3,$O166,0)</f>
        <v/>
      </c>
      <c r="V166" s="17">
        <f>IF(NOT($S166),0,IF(AND($B166&gt;=Statement!$C$6,$B166&lt;=Statement!$C$7),$U166,0)-IF(ISNUMBER($Q166),IF(AND($Q166&gt;=Statement!$C$6,$Q166&lt;=Statement!$C$7),$U166,0),0))</f>
        <v/>
      </c>
      <c r="W166" s="23">
        <f>IF($F166=Statement!$C$3,$G166,0)+IF($H166=Statement!$C$3,IF($I166="",0,$I166),0)</f>
        <v/>
      </c>
      <c r="X166">
        <f>IF(NOT($S166),"",IF(ISNUMBER($Q166),IF(AND($Q166&gt;=Statement!$C$6,$Q166&lt;=Statement!$C$7),"Clawback: credit reversed",""),"")&amp;IF(AND($B166&gt;=Statement!$C$6,$B166&lt;=Statement!$C$7,N($L166)&lt;1),"Partial credit: "&amp;TEXT($L166,"0%"),""))</f>
        <v/>
      </c>
    </row>
    <row r="167">
      <c r="A167" s="19" t="n"/>
      <c r="B167" s="20" t="n"/>
      <c r="C167" s="19" t="n"/>
      <c r="D167" s="19" t="n"/>
      <c r="E167" s="21" t="n"/>
      <c r="F167" s="19" t="n"/>
      <c r="G167" s="22" t="n"/>
      <c r="H167" s="19" t="n"/>
      <c r="I167" s="22" t="n"/>
      <c r="J167" s="20" t="n"/>
      <c r="K167" s="19" t="n"/>
      <c r="L167" s="23">
        <f>IF($E167="","",IFERROR(VLOOKUP($D167,'Plan setup'!$A$17:$B$21,2,FALSE),0))</f>
        <v/>
      </c>
      <c r="M167" s="17">
        <f>IF($E167="","",$E167*$L167)</f>
        <v/>
      </c>
      <c r="N167" s="17">
        <f>IF(OR($E167="",$F167=""),0,$M167*$G167)</f>
        <v/>
      </c>
      <c r="O167" s="17">
        <f>IF(OR($E167="",$H167=""),0,$M167*$I167)</f>
        <v/>
      </c>
      <c r="P167">
        <f>IF($J167="","",IF($J167-$B167&lt;='Plan setup'!$B$5,"Reversed","Outside window"))</f>
        <v/>
      </c>
      <c r="Q167" s="24">
        <f>IF($P167="Reversed",$J167,"")</f>
        <v/>
      </c>
      <c r="R167">
        <f>IF($E167="","",IF(ABS($G167+IF($I167="",0,$I167)-1)&gt;0.0001,"Splits must total 100%",IF(COUNTIF('Plan setup'!$A$25:$A$34,$F167)=0,"Rep 1 not in Plan setup",IF(IF($H167="",FALSE,COUNTIF('Plan setup'!$A$25:$A$34,$H167)=0),"Rep 2 not in Plan setup",IF(COUNTIF('Plan setup'!$A$17:$A$21,$D167)=0,"Unknown deal type",IF($P167="Outside window","Clawback outside window: not reversed","OK"))))))</f>
        <v/>
      </c>
      <c r="S167">
        <f>AND(ISNUMBER($B167),OR($F167=Statement!$C$3,$H167=Statement!$C$3),OR(AND($B167&gt;=Statement!$C$6,$B167&lt;=Statement!$C$7),AND(ISNUMBER($Q167),$Q167&gt;=Statement!$C$6,$Q167&lt;=Statement!$C$7)))</f>
        <v/>
      </c>
      <c r="T167">
        <f>IF($S167,COUNTIF($S$2:$S167,TRUE),"")</f>
        <v/>
      </c>
      <c r="U167" s="17">
        <f>IF($F167=Statement!$C$3,$N167,0)+IF($H167=Statement!$C$3,$O167,0)</f>
        <v/>
      </c>
      <c r="V167" s="17">
        <f>IF(NOT($S167),0,IF(AND($B167&gt;=Statement!$C$6,$B167&lt;=Statement!$C$7),$U167,0)-IF(ISNUMBER($Q167),IF(AND($Q167&gt;=Statement!$C$6,$Q167&lt;=Statement!$C$7),$U167,0),0))</f>
        <v/>
      </c>
      <c r="W167" s="23">
        <f>IF($F167=Statement!$C$3,$G167,0)+IF($H167=Statement!$C$3,IF($I167="",0,$I167),0)</f>
        <v/>
      </c>
      <c r="X167">
        <f>IF(NOT($S167),"",IF(ISNUMBER($Q167),IF(AND($Q167&gt;=Statement!$C$6,$Q167&lt;=Statement!$C$7),"Clawback: credit reversed",""),"")&amp;IF(AND($B167&gt;=Statement!$C$6,$B167&lt;=Statement!$C$7,N($L167)&lt;1),"Partial credit: "&amp;TEXT($L167,"0%"),""))</f>
        <v/>
      </c>
    </row>
    <row r="168">
      <c r="A168" s="19" t="n"/>
      <c r="B168" s="20" t="n"/>
      <c r="C168" s="19" t="n"/>
      <c r="D168" s="19" t="n"/>
      <c r="E168" s="21" t="n"/>
      <c r="F168" s="19" t="n"/>
      <c r="G168" s="22" t="n"/>
      <c r="H168" s="19" t="n"/>
      <c r="I168" s="22" t="n"/>
      <c r="J168" s="20" t="n"/>
      <c r="K168" s="19" t="n"/>
      <c r="L168" s="23">
        <f>IF($E168="","",IFERROR(VLOOKUP($D168,'Plan setup'!$A$17:$B$21,2,FALSE),0))</f>
        <v/>
      </c>
      <c r="M168" s="17">
        <f>IF($E168="","",$E168*$L168)</f>
        <v/>
      </c>
      <c r="N168" s="17">
        <f>IF(OR($E168="",$F168=""),0,$M168*$G168)</f>
        <v/>
      </c>
      <c r="O168" s="17">
        <f>IF(OR($E168="",$H168=""),0,$M168*$I168)</f>
        <v/>
      </c>
      <c r="P168">
        <f>IF($J168="","",IF($J168-$B168&lt;='Plan setup'!$B$5,"Reversed","Outside window"))</f>
        <v/>
      </c>
      <c r="Q168" s="24">
        <f>IF($P168="Reversed",$J168,"")</f>
        <v/>
      </c>
      <c r="R168">
        <f>IF($E168="","",IF(ABS($G168+IF($I168="",0,$I168)-1)&gt;0.0001,"Splits must total 100%",IF(COUNTIF('Plan setup'!$A$25:$A$34,$F168)=0,"Rep 1 not in Plan setup",IF(IF($H168="",FALSE,COUNTIF('Plan setup'!$A$25:$A$34,$H168)=0),"Rep 2 not in Plan setup",IF(COUNTIF('Plan setup'!$A$17:$A$21,$D168)=0,"Unknown deal type",IF($P168="Outside window","Clawback outside window: not reversed","OK"))))))</f>
        <v/>
      </c>
      <c r="S168">
        <f>AND(ISNUMBER($B168),OR($F168=Statement!$C$3,$H168=Statement!$C$3),OR(AND($B168&gt;=Statement!$C$6,$B168&lt;=Statement!$C$7),AND(ISNUMBER($Q168),$Q168&gt;=Statement!$C$6,$Q168&lt;=Statement!$C$7)))</f>
        <v/>
      </c>
      <c r="T168">
        <f>IF($S168,COUNTIF($S$2:$S168,TRUE),"")</f>
        <v/>
      </c>
      <c r="U168" s="17">
        <f>IF($F168=Statement!$C$3,$N168,0)+IF($H168=Statement!$C$3,$O168,0)</f>
        <v/>
      </c>
      <c r="V168" s="17">
        <f>IF(NOT($S168),0,IF(AND($B168&gt;=Statement!$C$6,$B168&lt;=Statement!$C$7),$U168,0)-IF(ISNUMBER($Q168),IF(AND($Q168&gt;=Statement!$C$6,$Q168&lt;=Statement!$C$7),$U168,0),0))</f>
        <v/>
      </c>
      <c r="W168" s="23">
        <f>IF($F168=Statement!$C$3,$G168,0)+IF($H168=Statement!$C$3,IF($I168="",0,$I168),0)</f>
        <v/>
      </c>
      <c r="X168">
        <f>IF(NOT($S168),"",IF(ISNUMBER($Q168),IF(AND($Q168&gt;=Statement!$C$6,$Q168&lt;=Statement!$C$7),"Clawback: credit reversed",""),"")&amp;IF(AND($B168&gt;=Statement!$C$6,$B168&lt;=Statement!$C$7,N($L168)&lt;1),"Partial credit: "&amp;TEXT($L168,"0%"),""))</f>
        <v/>
      </c>
    </row>
    <row r="169">
      <c r="A169" s="19" t="n"/>
      <c r="B169" s="20" t="n"/>
      <c r="C169" s="19" t="n"/>
      <c r="D169" s="19" t="n"/>
      <c r="E169" s="21" t="n"/>
      <c r="F169" s="19" t="n"/>
      <c r="G169" s="22" t="n"/>
      <c r="H169" s="19" t="n"/>
      <c r="I169" s="22" t="n"/>
      <c r="J169" s="20" t="n"/>
      <c r="K169" s="19" t="n"/>
      <c r="L169" s="23">
        <f>IF($E169="","",IFERROR(VLOOKUP($D169,'Plan setup'!$A$17:$B$21,2,FALSE),0))</f>
        <v/>
      </c>
      <c r="M169" s="17">
        <f>IF($E169="","",$E169*$L169)</f>
        <v/>
      </c>
      <c r="N169" s="17">
        <f>IF(OR($E169="",$F169=""),0,$M169*$G169)</f>
        <v/>
      </c>
      <c r="O169" s="17">
        <f>IF(OR($E169="",$H169=""),0,$M169*$I169)</f>
        <v/>
      </c>
      <c r="P169">
        <f>IF($J169="","",IF($J169-$B169&lt;='Plan setup'!$B$5,"Reversed","Outside window"))</f>
        <v/>
      </c>
      <c r="Q169" s="24">
        <f>IF($P169="Reversed",$J169,"")</f>
        <v/>
      </c>
      <c r="R169">
        <f>IF($E169="","",IF(ABS($G169+IF($I169="",0,$I169)-1)&gt;0.0001,"Splits must total 100%",IF(COUNTIF('Plan setup'!$A$25:$A$34,$F169)=0,"Rep 1 not in Plan setup",IF(IF($H169="",FALSE,COUNTIF('Plan setup'!$A$25:$A$34,$H169)=0),"Rep 2 not in Plan setup",IF(COUNTIF('Plan setup'!$A$17:$A$21,$D169)=0,"Unknown deal type",IF($P169="Outside window","Clawback outside window: not reversed","OK"))))))</f>
        <v/>
      </c>
      <c r="S169">
        <f>AND(ISNUMBER($B169),OR($F169=Statement!$C$3,$H169=Statement!$C$3),OR(AND($B169&gt;=Statement!$C$6,$B169&lt;=Statement!$C$7),AND(ISNUMBER($Q169),$Q169&gt;=Statement!$C$6,$Q169&lt;=Statement!$C$7)))</f>
        <v/>
      </c>
      <c r="T169">
        <f>IF($S169,COUNTIF($S$2:$S169,TRUE),"")</f>
        <v/>
      </c>
      <c r="U169" s="17">
        <f>IF($F169=Statement!$C$3,$N169,0)+IF($H169=Statement!$C$3,$O169,0)</f>
        <v/>
      </c>
      <c r="V169" s="17">
        <f>IF(NOT($S169),0,IF(AND($B169&gt;=Statement!$C$6,$B169&lt;=Statement!$C$7),$U169,0)-IF(ISNUMBER($Q169),IF(AND($Q169&gt;=Statement!$C$6,$Q169&lt;=Statement!$C$7),$U169,0),0))</f>
        <v/>
      </c>
      <c r="W169" s="23">
        <f>IF($F169=Statement!$C$3,$G169,0)+IF($H169=Statement!$C$3,IF($I169="",0,$I169),0)</f>
        <v/>
      </c>
      <c r="X169">
        <f>IF(NOT($S169),"",IF(ISNUMBER($Q169),IF(AND($Q169&gt;=Statement!$C$6,$Q169&lt;=Statement!$C$7),"Clawback: credit reversed",""),"")&amp;IF(AND($B169&gt;=Statement!$C$6,$B169&lt;=Statement!$C$7,N($L169)&lt;1),"Partial credit: "&amp;TEXT($L169,"0%"),""))</f>
        <v/>
      </c>
    </row>
    <row r="170">
      <c r="A170" s="19" t="n"/>
      <c r="B170" s="20" t="n"/>
      <c r="C170" s="19" t="n"/>
      <c r="D170" s="19" t="n"/>
      <c r="E170" s="21" t="n"/>
      <c r="F170" s="19" t="n"/>
      <c r="G170" s="22" t="n"/>
      <c r="H170" s="19" t="n"/>
      <c r="I170" s="22" t="n"/>
      <c r="J170" s="20" t="n"/>
      <c r="K170" s="19" t="n"/>
      <c r="L170" s="23">
        <f>IF($E170="","",IFERROR(VLOOKUP($D170,'Plan setup'!$A$17:$B$21,2,FALSE),0))</f>
        <v/>
      </c>
      <c r="M170" s="17">
        <f>IF($E170="","",$E170*$L170)</f>
        <v/>
      </c>
      <c r="N170" s="17">
        <f>IF(OR($E170="",$F170=""),0,$M170*$G170)</f>
        <v/>
      </c>
      <c r="O170" s="17">
        <f>IF(OR($E170="",$H170=""),0,$M170*$I170)</f>
        <v/>
      </c>
      <c r="P170">
        <f>IF($J170="","",IF($J170-$B170&lt;='Plan setup'!$B$5,"Reversed","Outside window"))</f>
        <v/>
      </c>
      <c r="Q170" s="24">
        <f>IF($P170="Reversed",$J170,"")</f>
        <v/>
      </c>
      <c r="R170">
        <f>IF($E170="","",IF(ABS($G170+IF($I170="",0,$I170)-1)&gt;0.0001,"Splits must total 100%",IF(COUNTIF('Plan setup'!$A$25:$A$34,$F170)=0,"Rep 1 not in Plan setup",IF(IF($H170="",FALSE,COUNTIF('Plan setup'!$A$25:$A$34,$H170)=0),"Rep 2 not in Plan setup",IF(COUNTIF('Plan setup'!$A$17:$A$21,$D170)=0,"Unknown deal type",IF($P170="Outside window","Clawback outside window: not reversed","OK"))))))</f>
        <v/>
      </c>
      <c r="S170">
        <f>AND(ISNUMBER($B170),OR($F170=Statement!$C$3,$H170=Statement!$C$3),OR(AND($B170&gt;=Statement!$C$6,$B170&lt;=Statement!$C$7),AND(ISNUMBER($Q170),$Q170&gt;=Statement!$C$6,$Q170&lt;=Statement!$C$7)))</f>
        <v/>
      </c>
      <c r="T170">
        <f>IF($S170,COUNTIF($S$2:$S170,TRUE),"")</f>
        <v/>
      </c>
      <c r="U170" s="17">
        <f>IF($F170=Statement!$C$3,$N170,0)+IF($H170=Statement!$C$3,$O170,0)</f>
        <v/>
      </c>
      <c r="V170" s="17">
        <f>IF(NOT($S170),0,IF(AND($B170&gt;=Statement!$C$6,$B170&lt;=Statement!$C$7),$U170,0)-IF(ISNUMBER($Q170),IF(AND($Q170&gt;=Statement!$C$6,$Q170&lt;=Statement!$C$7),$U170,0),0))</f>
        <v/>
      </c>
      <c r="W170" s="23">
        <f>IF($F170=Statement!$C$3,$G170,0)+IF($H170=Statement!$C$3,IF($I170="",0,$I170),0)</f>
        <v/>
      </c>
      <c r="X170">
        <f>IF(NOT($S170),"",IF(ISNUMBER($Q170),IF(AND($Q170&gt;=Statement!$C$6,$Q170&lt;=Statement!$C$7),"Clawback: credit reversed",""),"")&amp;IF(AND($B170&gt;=Statement!$C$6,$B170&lt;=Statement!$C$7,N($L170)&lt;1),"Partial credit: "&amp;TEXT($L170,"0%"),""))</f>
        <v/>
      </c>
    </row>
    <row r="171">
      <c r="A171" s="19" t="n"/>
      <c r="B171" s="20" t="n"/>
      <c r="C171" s="19" t="n"/>
      <c r="D171" s="19" t="n"/>
      <c r="E171" s="21" t="n"/>
      <c r="F171" s="19" t="n"/>
      <c r="G171" s="22" t="n"/>
      <c r="H171" s="19" t="n"/>
      <c r="I171" s="22" t="n"/>
      <c r="J171" s="20" t="n"/>
      <c r="K171" s="19" t="n"/>
      <c r="L171" s="23">
        <f>IF($E171="","",IFERROR(VLOOKUP($D171,'Plan setup'!$A$17:$B$21,2,FALSE),0))</f>
        <v/>
      </c>
      <c r="M171" s="17">
        <f>IF($E171="","",$E171*$L171)</f>
        <v/>
      </c>
      <c r="N171" s="17">
        <f>IF(OR($E171="",$F171=""),0,$M171*$G171)</f>
        <v/>
      </c>
      <c r="O171" s="17">
        <f>IF(OR($E171="",$H171=""),0,$M171*$I171)</f>
        <v/>
      </c>
      <c r="P171">
        <f>IF($J171="","",IF($J171-$B171&lt;='Plan setup'!$B$5,"Reversed","Outside window"))</f>
        <v/>
      </c>
      <c r="Q171" s="24">
        <f>IF($P171="Reversed",$J171,"")</f>
        <v/>
      </c>
      <c r="R171">
        <f>IF($E171="","",IF(ABS($G171+IF($I171="",0,$I171)-1)&gt;0.0001,"Splits must total 100%",IF(COUNTIF('Plan setup'!$A$25:$A$34,$F171)=0,"Rep 1 not in Plan setup",IF(IF($H171="",FALSE,COUNTIF('Plan setup'!$A$25:$A$34,$H171)=0),"Rep 2 not in Plan setup",IF(COUNTIF('Plan setup'!$A$17:$A$21,$D171)=0,"Unknown deal type",IF($P171="Outside window","Clawback outside window: not reversed","OK"))))))</f>
        <v/>
      </c>
      <c r="S171">
        <f>AND(ISNUMBER($B171),OR($F171=Statement!$C$3,$H171=Statement!$C$3),OR(AND($B171&gt;=Statement!$C$6,$B171&lt;=Statement!$C$7),AND(ISNUMBER($Q171),$Q171&gt;=Statement!$C$6,$Q171&lt;=Statement!$C$7)))</f>
        <v/>
      </c>
      <c r="T171">
        <f>IF($S171,COUNTIF($S$2:$S171,TRUE),"")</f>
        <v/>
      </c>
      <c r="U171" s="17">
        <f>IF($F171=Statement!$C$3,$N171,0)+IF($H171=Statement!$C$3,$O171,0)</f>
        <v/>
      </c>
      <c r="V171" s="17">
        <f>IF(NOT($S171),0,IF(AND($B171&gt;=Statement!$C$6,$B171&lt;=Statement!$C$7),$U171,0)-IF(ISNUMBER($Q171),IF(AND($Q171&gt;=Statement!$C$6,$Q171&lt;=Statement!$C$7),$U171,0),0))</f>
        <v/>
      </c>
      <c r="W171" s="23">
        <f>IF($F171=Statement!$C$3,$G171,0)+IF($H171=Statement!$C$3,IF($I171="",0,$I171),0)</f>
        <v/>
      </c>
      <c r="X171">
        <f>IF(NOT($S171),"",IF(ISNUMBER($Q171),IF(AND($Q171&gt;=Statement!$C$6,$Q171&lt;=Statement!$C$7),"Clawback: credit reversed",""),"")&amp;IF(AND($B171&gt;=Statement!$C$6,$B171&lt;=Statement!$C$7,N($L171)&lt;1),"Partial credit: "&amp;TEXT($L171,"0%"),""))</f>
        <v/>
      </c>
    </row>
    <row r="172">
      <c r="A172" s="19" t="n"/>
      <c r="B172" s="20" t="n"/>
      <c r="C172" s="19" t="n"/>
      <c r="D172" s="19" t="n"/>
      <c r="E172" s="21" t="n"/>
      <c r="F172" s="19" t="n"/>
      <c r="G172" s="22" t="n"/>
      <c r="H172" s="19" t="n"/>
      <c r="I172" s="22" t="n"/>
      <c r="J172" s="20" t="n"/>
      <c r="K172" s="19" t="n"/>
      <c r="L172" s="23">
        <f>IF($E172="","",IFERROR(VLOOKUP($D172,'Plan setup'!$A$17:$B$21,2,FALSE),0))</f>
        <v/>
      </c>
      <c r="M172" s="17">
        <f>IF($E172="","",$E172*$L172)</f>
        <v/>
      </c>
      <c r="N172" s="17">
        <f>IF(OR($E172="",$F172=""),0,$M172*$G172)</f>
        <v/>
      </c>
      <c r="O172" s="17">
        <f>IF(OR($E172="",$H172=""),0,$M172*$I172)</f>
        <v/>
      </c>
      <c r="P172">
        <f>IF($J172="","",IF($J172-$B172&lt;='Plan setup'!$B$5,"Reversed","Outside window"))</f>
        <v/>
      </c>
      <c r="Q172" s="24">
        <f>IF($P172="Reversed",$J172,"")</f>
        <v/>
      </c>
      <c r="R172">
        <f>IF($E172="","",IF(ABS($G172+IF($I172="",0,$I172)-1)&gt;0.0001,"Splits must total 100%",IF(COUNTIF('Plan setup'!$A$25:$A$34,$F172)=0,"Rep 1 not in Plan setup",IF(IF($H172="",FALSE,COUNTIF('Plan setup'!$A$25:$A$34,$H172)=0),"Rep 2 not in Plan setup",IF(COUNTIF('Plan setup'!$A$17:$A$21,$D172)=0,"Unknown deal type",IF($P172="Outside window","Clawback outside window: not reversed","OK"))))))</f>
        <v/>
      </c>
      <c r="S172">
        <f>AND(ISNUMBER($B172),OR($F172=Statement!$C$3,$H172=Statement!$C$3),OR(AND($B172&gt;=Statement!$C$6,$B172&lt;=Statement!$C$7),AND(ISNUMBER($Q172),$Q172&gt;=Statement!$C$6,$Q172&lt;=Statement!$C$7)))</f>
        <v/>
      </c>
      <c r="T172">
        <f>IF($S172,COUNTIF($S$2:$S172,TRUE),"")</f>
        <v/>
      </c>
      <c r="U172" s="17">
        <f>IF($F172=Statement!$C$3,$N172,0)+IF($H172=Statement!$C$3,$O172,0)</f>
        <v/>
      </c>
      <c r="V172" s="17">
        <f>IF(NOT($S172),0,IF(AND($B172&gt;=Statement!$C$6,$B172&lt;=Statement!$C$7),$U172,0)-IF(ISNUMBER($Q172),IF(AND($Q172&gt;=Statement!$C$6,$Q172&lt;=Statement!$C$7),$U172,0),0))</f>
        <v/>
      </c>
      <c r="W172" s="23">
        <f>IF($F172=Statement!$C$3,$G172,0)+IF($H172=Statement!$C$3,IF($I172="",0,$I172),0)</f>
        <v/>
      </c>
      <c r="X172">
        <f>IF(NOT($S172),"",IF(ISNUMBER($Q172),IF(AND($Q172&gt;=Statement!$C$6,$Q172&lt;=Statement!$C$7),"Clawback: credit reversed",""),"")&amp;IF(AND($B172&gt;=Statement!$C$6,$B172&lt;=Statement!$C$7,N($L172)&lt;1),"Partial credit: "&amp;TEXT($L172,"0%"),""))</f>
        <v/>
      </c>
    </row>
    <row r="173">
      <c r="A173" s="19" t="n"/>
      <c r="B173" s="20" t="n"/>
      <c r="C173" s="19" t="n"/>
      <c r="D173" s="19" t="n"/>
      <c r="E173" s="21" t="n"/>
      <c r="F173" s="19" t="n"/>
      <c r="G173" s="22" t="n"/>
      <c r="H173" s="19" t="n"/>
      <c r="I173" s="22" t="n"/>
      <c r="J173" s="20" t="n"/>
      <c r="K173" s="19" t="n"/>
      <c r="L173" s="23">
        <f>IF($E173="","",IFERROR(VLOOKUP($D173,'Plan setup'!$A$17:$B$21,2,FALSE),0))</f>
        <v/>
      </c>
      <c r="M173" s="17">
        <f>IF($E173="","",$E173*$L173)</f>
        <v/>
      </c>
      <c r="N173" s="17">
        <f>IF(OR($E173="",$F173=""),0,$M173*$G173)</f>
        <v/>
      </c>
      <c r="O173" s="17">
        <f>IF(OR($E173="",$H173=""),0,$M173*$I173)</f>
        <v/>
      </c>
      <c r="P173">
        <f>IF($J173="","",IF($J173-$B173&lt;='Plan setup'!$B$5,"Reversed","Outside window"))</f>
        <v/>
      </c>
      <c r="Q173" s="24">
        <f>IF($P173="Reversed",$J173,"")</f>
        <v/>
      </c>
      <c r="R173">
        <f>IF($E173="","",IF(ABS($G173+IF($I173="",0,$I173)-1)&gt;0.0001,"Splits must total 100%",IF(COUNTIF('Plan setup'!$A$25:$A$34,$F173)=0,"Rep 1 not in Plan setup",IF(IF($H173="",FALSE,COUNTIF('Plan setup'!$A$25:$A$34,$H173)=0),"Rep 2 not in Plan setup",IF(COUNTIF('Plan setup'!$A$17:$A$21,$D173)=0,"Unknown deal type",IF($P173="Outside window","Clawback outside window: not reversed","OK"))))))</f>
        <v/>
      </c>
      <c r="S173">
        <f>AND(ISNUMBER($B173),OR($F173=Statement!$C$3,$H173=Statement!$C$3),OR(AND($B173&gt;=Statement!$C$6,$B173&lt;=Statement!$C$7),AND(ISNUMBER($Q173),$Q173&gt;=Statement!$C$6,$Q173&lt;=Statement!$C$7)))</f>
        <v/>
      </c>
      <c r="T173">
        <f>IF($S173,COUNTIF($S$2:$S173,TRUE),"")</f>
        <v/>
      </c>
      <c r="U173" s="17">
        <f>IF($F173=Statement!$C$3,$N173,0)+IF($H173=Statement!$C$3,$O173,0)</f>
        <v/>
      </c>
      <c r="V173" s="17">
        <f>IF(NOT($S173),0,IF(AND($B173&gt;=Statement!$C$6,$B173&lt;=Statement!$C$7),$U173,0)-IF(ISNUMBER($Q173),IF(AND($Q173&gt;=Statement!$C$6,$Q173&lt;=Statement!$C$7),$U173,0),0))</f>
        <v/>
      </c>
      <c r="W173" s="23">
        <f>IF($F173=Statement!$C$3,$G173,0)+IF($H173=Statement!$C$3,IF($I173="",0,$I173),0)</f>
        <v/>
      </c>
      <c r="X173">
        <f>IF(NOT($S173),"",IF(ISNUMBER($Q173),IF(AND($Q173&gt;=Statement!$C$6,$Q173&lt;=Statement!$C$7),"Clawback: credit reversed",""),"")&amp;IF(AND($B173&gt;=Statement!$C$6,$B173&lt;=Statement!$C$7,N($L173)&lt;1),"Partial credit: "&amp;TEXT($L173,"0%"),""))</f>
        <v/>
      </c>
    </row>
    <row r="174">
      <c r="A174" s="19" t="n"/>
      <c r="B174" s="20" t="n"/>
      <c r="C174" s="19" t="n"/>
      <c r="D174" s="19" t="n"/>
      <c r="E174" s="21" t="n"/>
      <c r="F174" s="19" t="n"/>
      <c r="G174" s="22" t="n"/>
      <c r="H174" s="19" t="n"/>
      <c r="I174" s="22" t="n"/>
      <c r="J174" s="20" t="n"/>
      <c r="K174" s="19" t="n"/>
      <c r="L174" s="23">
        <f>IF($E174="","",IFERROR(VLOOKUP($D174,'Plan setup'!$A$17:$B$21,2,FALSE),0))</f>
        <v/>
      </c>
      <c r="M174" s="17">
        <f>IF($E174="","",$E174*$L174)</f>
        <v/>
      </c>
      <c r="N174" s="17">
        <f>IF(OR($E174="",$F174=""),0,$M174*$G174)</f>
        <v/>
      </c>
      <c r="O174" s="17">
        <f>IF(OR($E174="",$H174=""),0,$M174*$I174)</f>
        <v/>
      </c>
      <c r="P174">
        <f>IF($J174="","",IF($J174-$B174&lt;='Plan setup'!$B$5,"Reversed","Outside window"))</f>
        <v/>
      </c>
      <c r="Q174" s="24">
        <f>IF($P174="Reversed",$J174,"")</f>
        <v/>
      </c>
      <c r="R174">
        <f>IF($E174="","",IF(ABS($G174+IF($I174="",0,$I174)-1)&gt;0.0001,"Splits must total 100%",IF(COUNTIF('Plan setup'!$A$25:$A$34,$F174)=0,"Rep 1 not in Plan setup",IF(IF($H174="",FALSE,COUNTIF('Plan setup'!$A$25:$A$34,$H174)=0),"Rep 2 not in Plan setup",IF(COUNTIF('Plan setup'!$A$17:$A$21,$D174)=0,"Unknown deal type",IF($P174="Outside window","Clawback outside window: not reversed","OK"))))))</f>
        <v/>
      </c>
      <c r="S174">
        <f>AND(ISNUMBER($B174),OR($F174=Statement!$C$3,$H174=Statement!$C$3),OR(AND($B174&gt;=Statement!$C$6,$B174&lt;=Statement!$C$7),AND(ISNUMBER($Q174),$Q174&gt;=Statement!$C$6,$Q174&lt;=Statement!$C$7)))</f>
        <v/>
      </c>
      <c r="T174">
        <f>IF($S174,COUNTIF($S$2:$S174,TRUE),"")</f>
        <v/>
      </c>
      <c r="U174" s="17">
        <f>IF($F174=Statement!$C$3,$N174,0)+IF($H174=Statement!$C$3,$O174,0)</f>
        <v/>
      </c>
      <c r="V174" s="17">
        <f>IF(NOT($S174),0,IF(AND($B174&gt;=Statement!$C$6,$B174&lt;=Statement!$C$7),$U174,0)-IF(ISNUMBER($Q174),IF(AND($Q174&gt;=Statement!$C$6,$Q174&lt;=Statement!$C$7),$U174,0),0))</f>
        <v/>
      </c>
      <c r="W174" s="23">
        <f>IF($F174=Statement!$C$3,$G174,0)+IF($H174=Statement!$C$3,IF($I174="",0,$I174),0)</f>
        <v/>
      </c>
      <c r="X174">
        <f>IF(NOT($S174),"",IF(ISNUMBER($Q174),IF(AND($Q174&gt;=Statement!$C$6,$Q174&lt;=Statement!$C$7),"Clawback: credit reversed",""),"")&amp;IF(AND($B174&gt;=Statement!$C$6,$B174&lt;=Statement!$C$7,N($L174)&lt;1),"Partial credit: "&amp;TEXT($L174,"0%"),""))</f>
        <v/>
      </c>
    </row>
    <row r="175">
      <c r="A175" s="19" t="n"/>
      <c r="B175" s="20" t="n"/>
      <c r="C175" s="19" t="n"/>
      <c r="D175" s="19" t="n"/>
      <c r="E175" s="21" t="n"/>
      <c r="F175" s="19" t="n"/>
      <c r="G175" s="22" t="n"/>
      <c r="H175" s="19" t="n"/>
      <c r="I175" s="22" t="n"/>
      <c r="J175" s="20" t="n"/>
      <c r="K175" s="19" t="n"/>
      <c r="L175" s="23">
        <f>IF($E175="","",IFERROR(VLOOKUP($D175,'Plan setup'!$A$17:$B$21,2,FALSE),0))</f>
        <v/>
      </c>
      <c r="M175" s="17">
        <f>IF($E175="","",$E175*$L175)</f>
        <v/>
      </c>
      <c r="N175" s="17">
        <f>IF(OR($E175="",$F175=""),0,$M175*$G175)</f>
        <v/>
      </c>
      <c r="O175" s="17">
        <f>IF(OR($E175="",$H175=""),0,$M175*$I175)</f>
        <v/>
      </c>
      <c r="P175">
        <f>IF($J175="","",IF($J175-$B175&lt;='Plan setup'!$B$5,"Reversed","Outside window"))</f>
        <v/>
      </c>
      <c r="Q175" s="24">
        <f>IF($P175="Reversed",$J175,"")</f>
        <v/>
      </c>
      <c r="R175">
        <f>IF($E175="","",IF(ABS($G175+IF($I175="",0,$I175)-1)&gt;0.0001,"Splits must total 100%",IF(COUNTIF('Plan setup'!$A$25:$A$34,$F175)=0,"Rep 1 not in Plan setup",IF(IF($H175="",FALSE,COUNTIF('Plan setup'!$A$25:$A$34,$H175)=0),"Rep 2 not in Plan setup",IF(COUNTIF('Plan setup'!$A$17:$A$21,$D175)=0,"Unknown deal type",IF($P175="Outside window","Clawback outside window: not reversed","OK"))))))</f>
        <v/>
      </c>
      <c r="S175">
        <f>AND(ISNUMBER($B175),OR($F175=Statement!$C$3,$H175=Statement!$C$3),OR(AND($B175&gt;=Statement!$C$6,$B175&lt;=Statement!$C$7),AND(ISNUMBER($Q175),$Q175&gt;=Statement!$C$6,$Q175&lt;=Statement!$C$7)))</f>
        <v/>
      </c>
      <c r="T175">
        <f>IF($S175,COUNTIF($S$2:$S175,TRUE),"")</f>
        <v/>
      </c>
      <c r="U175" s="17">
        <f>IF($F175=Statement!$C$3,$N175,0)+IF($H175=Statement!$C$3,$O175,0)</f>
        <v/>
      </c>
      <c r="V175" s="17">
        <f>IF(NOT($S175),0,IF(AND($B175&gt;=Statement!$C$6,$B175&lt;=Statement!$C$7),$U175,0)-IF(ISNUMBER($Q175),IF(AND($Q175&gt;=Statement!$C$6,$Q175&lt;=Statement!$C$7),$U175,0),0))</f>
        <v/>
      </c>
      <c r="W175" s="23">
        <f>IF($F175=Statement!$C$3,$G175,0)+IF($H175=Statement!$C$3,IF($I175="",0,$I175),0)</f>
        <v/>
      </c>
      <c r="X175">
        <f>IF(NOT($S175),"",IF(ISNUMBER($Q175),IF(AND($Q175&gt;=Statement!$C$6,$Q175&lt;=Statement!$C$7),"Clawback: credit reversed",""),"")&amp;IF(AND($B175&gt;=Statement!$C$6,$B175&lt;=Statement!$C$7,N($L175)&lt;1),"Partial credit: "&amp;TEXT($L175,"0%"),""))</f>
        <v/>
      </c>
    </row>
    <row r="176">
      <c r="A176" s="19" t="n"/>
      <c r="B176" s="20" t="n"/>
      <c r="C176" s="19" t="n"/>
      <c r="D176" s="19" t="n"/>
      <c r="E176" s="21" t="n"/>
      <c r="F176" s="19" t="n"/>
      <c r="G176" s="22" t="n"/>
      <c r="H176" s="19" t="n"/>
      <c r="I176" s="22" t="n"/>
      <c r="J176" s="20" t="n"/>
      <c r="K176" s="19" t="n"/>
      <c r="L176" s="23">
        <f>IF($E176="","",IFERROR(VLOOKUP($D176,'Plan setup'!$A$17:$B$21,2,FALSE),0))</f>
        <v/>
      </c>
      <c r="M176" s="17">
        <f>IF($E176="","",$E176*$L176)</f>
        <v/>
      </c>
      <c r="N176" s="17">
        <f>IF(OR($E176="",$F176=""),0,$M176*$G176)</f>
        <v/>
      </c>
      <c r="O176" s="17">
        <f>IF(OR($E176="",$H176=""),0,$M176*$I176)</f>
        <v/>
      </c>
      <c r="P176">
        <f>IF($J176="","",IF($J176-$B176&lt;='Plan setup'!$B$5,"Reversed","Outside window"))</f>
        <v/>
      </c>
      <c r="Q176" s="24">
        <f>IF($P176="Reversed",$J176,"")</f>
        <v/>
      </c>
      <c r="R176">
        <f>IF($E176="","",IF(ABS($G176+IF($I176="",0,$I176)-1)&gt;0.0001,"Splits must total 100%",IF(COUNTIF('Plan setup'!$A$25:$A$34,$F176)=0,"Rep 1 not in Plan setup",IF(IF($H176="",FALSE,COUNTIF('Plan setup'!$A$25:$A$34,$H176)=0),"Rep 2 not in Plan setup",IF(COUNTIF('Plan setup'!$A$17:$A$21,$D176)=0,"Unknown deal type",IF($P176="Outside window","Clawback outside window: not reversed","OK"))))))</f>
        <v/>
      </c>
      <c r="S176">
        <f>AND(ISNUMBER($B176),OR($F176=Statement!$C$3,$H176=Statement!$C$3),OR(AND($B176&gt;=Statement!$C$6,$B176&lt;=Statement!$C$7),AND(ISNUMBER($Q176),$Q176&gt;=Statement!$C$6,$Q176&lt;=Statement!$C$7)))</f>
        <v/>
      </c>
      <c r="T176">
        <f>IF($S176,COUNTIF($S$2:$S176,TRUE),"")</f>
        <v/>
      </c>
      <c r="U176" s="17">
        <f>IF($F176=Statement!$C$3,$N176,0)+IF($H176=Statement!$C$3,$O176,0)</f>
        <v/>
      </c>
      <c r="V176" s="17">
        <f>IF(NOT($S176),0,IF(AND($B176&gt;=Statement!$C$6,$B176&lt;=Statement!$C$7),$U176,0)-IF(ISNUMBER($Q176),IF(AND($Q176&gt;=Statement!$C$6,$Q176&lt;=Statement!$C$7),$U176,0),0))</f>
        <v/>
      </c>
      <c r="W176" s="23">
        <f>IF($F176=Statement!$C$3,$G176,0)+IF($H176=Statement!$C$3,IF($I176="",0,$I176),0)</f>
        <v/>
      </c>
      <c r="X176">
        <f>IF(NOT($S176),"",IF(ISNUMBER($Q176),IF(AND($Q176&gt;=Statement!$C$6,$Q176&lt;=Statement!$C$7),"Clawback: credit reversed",""),"")&amp;IF(AND($B176&gt;=Statement!$C$6,$B176&lt;=Statement!$C$7,N($L176)&lt;1),"Partial credit: "&amp;TEXT($L176,"0%"),""))</f>
        <v/>
      </c>
    </row>
    <row r="177">
      <c r="A177" s="19" t="n"/>
      <c r="B177" s="20" t="n"/>
      <c r="C177" s="19" t="n"/>
      <c r="D177" s="19" t="n"/>
      <c r="E177" s="21" t="n"/>
      <c r="F177" s="19" t="n"/>
      <c r="G177" s="22" t="n"/>
      <c r="H177" s="19" t="n"/>
      <c r="I177" s="22" t="n"/>
      <c r="J177" s="20" t="n"/>
      <c r="K177" s="19" t="n"/>
      <c r="L177" s="23">
        <f>IF($E177="","",IFERROR(VLOOKUP($D177,'Plan setup'!$A$17:$B$21,2,FALSE),0))</f>
        <v/>
      </c>
      <c r="M177" s="17">
        <f>IF($E177="","",$E177*$L177)</f>
        <v/>
      </c>
      <c r="N177" s="17">
        <f>IF(OR($E177="",$F177=""),0,$M177*$G177)</f>
        <v/>
      </c>
      <c r="O177" s="17">
        <f>IF(OR($E177="",$H177=""),0,$M177*$I177)</f>
        <v/>
      </c>
      <c r="P177">
        <f>IF($J177="","",IF($J177-$B177&lt;='Plan setup'!$B$5,"Reversed","Outside window"))</f>
        <v/>
      </c>
      <c r="Q177" s="24">
        <f>IF($P177="Reversed",$J177,"")</f>
        <v/>
      </c>
      <c r="R177">
        <f>IF($E177="","",IF(ABS($G177+IF($I177="",0,$I177)-1)&gt;0.0001,"Splits must total 100%",IF(COUNTIF('Plan setup'!$A$25:$A$34,$F177)=0,"Rep 1 not in Plan setup",IF(IF($H177="",FALSE,COUNTIF('Plan setup'!$A$25:$A$34,$H177)=0),"Rep 2 not in Plan setup",IF(COUNTIF('Plan setup'!$A$17:$A$21,$D177)=0,"Unknown deal type",IF($P177="Outside window","Clawback outside window: not reversed","OK"))))))</f>
        <v/>
      </c>
      <c r="S177">
        <f>AND(ISNUMBER($B177),OR($F177=Statement!$C$3,$H177=Statement!$C$3),OR(AND($B177&gt;=Statement!$C$6,$B177&lt;=Statement!$C$7),AND(ISNUMBER($Q177),$Q177&gt;=Statement!$C$6,$Q177&lt;=Statement!$C$7)))</f>
        <v/>
      </c>
      <c r="T177">
        <f>IF($S177,COUNTIF($S$2:$S177,TRUE),"")</f>
        <v/>
      </c>
      <c r="U177" s="17">
        <f>IF($F177=Statement!$C$3,$N177,0)+IF($H177=Statement!$C$3,$O177,0)</f>
        <v/>
      </c>
      <c r="V177" s="17">
        <f>IF(NOT($S177),0,IF(AND($B177&gt;=Statement!$C$6,$B177&lt;=Statement!$C$7),$U177,0)-IF(ISNUMBER($Q177),IF(AND($Q177&gt;=Statement!$C$6,$Q177&lt;=Statement!$C$7),$U177,0),0))</f>
        <v/>
      </c>
      <c r="W177" s="23">
        <f>IF($F177=Statement!$C$3,$G177,0)+IF($H177=Statement!$C$3,IF($I177="",0,$I177),0)</f>
        <v/>
      </c>
      <c r="X177">
        <f>IF(NOT($S177),"",IF(ISNUMBER($Q177),IF(AND($Q177&gt;=Statement!$C$6,$Q177&lt;=Statement!$C$7),"Clawback: credit reversed",""),"")&amp;IF(AND($B177&gt;=Statement!$C$6,$B177&lt;=Statement!$C$7,N($L177)&lt;1),"Partial credit: "&amp;TEXT($L177,"0%"),""))</f>
        <v/>
      </c>
    </row>
    <row r="178">
      <c r="A178" s="19" t="n"/>
      <c r="B178" s="20" t="n"/>
      <c r="C178" s="19" t="n"/>
      <c r="D178" s="19" t="n"/>
      <c r="E178" s="21" t="n"/>
      <c r="F178" s="19" t="n"/>
      <c r="G178" s="22" t="n"/>
      <c r="H178" s="19" t="n"/>
      <c r="I178" s="22" t="n"/>
      <c r="J178" s="20" t="n"/>
      <c r="K178" s="19" t="n"/>
      <c r="L178" s="23">
        <f>IF($E178="","",IFERROR(VLOOKUP($D178,'Plan setup'!$A$17:$B$21,2,FALSE),0))</f>
        <v/>
      </c>
      <c r="M178" s="17">
        <f>IF($E178="","",$E178*$L178)</f>
        <v/>
      </c>
      <c r="N178" s="17">
        <f>IF(OR($E178="",$F178=""),0,$M178*$G178)</f>
        <v/>
      </c>
      <c r="O178" s="17">
        <f>IF(OR($E178="",$H178=""),0,$M178*$I178)</f>
        <v/>
      </c>
      <c r="P178">
        <f>IF($J178="","",IF($J178-$B178&lt;='Plan setup'!$B$5,"Reversed","Outside window"))</f>
        <v/>
      </c>
      <c r="Q178" s="24">
        <f>IF($P178="Reversed",$J178,"")</f>
        <v/>
      </c>
      <c r="R178">
        <f>IF($E178="","",IF(ABS($G178+IF($I178="",0,$I178)-1)&gt;0.0001,"Splits must total 100%",IF(COUNTIF('Plan setup'!$A$25:$A$34,$F178)=0,"Rep 1 not in Plan setup",IF(IF($H178="",FALSE,COUNTIF('Plan setup'!$A$25:$A$34,$H178)=0),"Rep 2 not in Plan setup",IF(COUNTIF('Plan setup'!$A$17:$A$21,$D178)=0,"Unknown deal type",IF($P178="Outside window","Clawback outside window: not reversed","OK"))))))</f>
        <v/>
      </c>
      <c r="S178">
        <f>AND(ISNUMBER($B178),OR($F178=Statement!$C$3,$H178=Statement!$C$3),OR(AND($B178&gt;=Statement!$C$6,$B178&lt;=Statement!$C$7),AND(ISNUMBER($Q178),$Q178&gt;=Statement!$C$6,$Q178&lt;=Statement!$C$7)))</f>
        <v/>
      </c>
      <c r="T178">
        <f>IF($S178,COUNTIF($S$2:$S178,TRUE),"")</f>
        <v/>
      </c>
      <c r="U178" s="17">
        <f>IF($F178=Statement!$C$3,$N178,0)+IF($H178=Statement!$C$3,$O178,0)</f>
        <v/>
      </c>
      <c r="V178" s="17">
        <f>IF(NOT($S178),0,IF(AND($B178&gt;=Statement!$C$6,$B178&lt;=Statement!$C$7),$U178,0)-IF(ISNUMBER($Q178),IF(AND($Q178&gt;=Statement!$C$6,$Q178&lt;=Statement!$C$7),$U178,0),0))</f>
        <v/>
      </c>
      <c r="W178" s="23">
        <f>IF($F178=Statement!$C$3,$G178,0)+IF($H178=Statement!$C$3,IF($I178="",0,$I178),0)</f>
        <v/>
      </c>
      <c r="X178">
        <f>IF(NOT($S178),"",IF(ISNUMBER($Q178),IF(AND($Q178&gt;=Statement!$C$6,$Q178&lt;=Statement!$C$7),"Clawback: credit reversed",""),"")&amp;IF(AND($B178&gt;=Statement!$C$6,$B178&lt;=Statement!$C$7,N($L178)&lt;1),"Partial credit: "&amp;TEXT($L178,"0%"),""))</f>
        <v/>
      </c>
    </row>
    <row r="179">
      <c r="A179" s="19" t="n"/>
      <c r="B179" s="20" t="n"/>
      <c r="C179" s="19" t="n"/>
      <c r="D179" s="19" t="n"/>
      <c r="E179" s="21" t="n"/>
      <c r="F179" s="19" t="n"/>
      <c r="G179" s="22" t="n"/>
      <c r="H179" s="19" t="n"/>
      <c r="I179" s="22" t="n"/>
      <c r="J179" s="20" t="n"/>
      <c r="K179" s="19" t="n"/>
      <c r="L179" s="23">
        <f>IF($E179="","",IFERROR(VLOOKUP($D179,'Plan setup'!$A$17:$B$21,2,FALSE),0))</f>
        <v/>
      </c>
      <c r="M179" s="17">
        <f>IF($E179="","",$E179*$L179)</f>
        <v/>
      </c>
      <c r="N179" s="17">
        <f>IF(OR($E179="",$F179=""),0,$M179*$G179)</f>
        <v/>
      </c>
      <c r="O179" s="17">
        <f>IF(OR($E179="",$H179=""),0,$M179*$I179)</f>
        <v/>
      </c>
      <c r="P179">
        <f>IF($J179="","",IF($J179-$B179&lt;='Plan setup'!$B$5,"Reversed","Outside window"))</f>
        <v/>
      </c>
      <c r="Q179" s="24">
        <f>IF($P179="Reversed",$J179,"")</f>
        <v/>
      </c>
      <c r="R179">
        <f>IF($E179="","",IF(ABS($G179+IF($I179="",0,$I179)-1)&gt;0.0001,"Splits must total 100%",IF(COUNTIF('Plan setup'!$A$25:$A$34,$F179)=0,"Rep 1 not in Plan setup",IF(IF($H179="",FALSE,COUNTIF('Plan setup'!$A$25:$A$34,$H179)=0),"Rep 2 not in Plan setup",IF(COUNTIF('Plan setup'!$A$17:$A$21,$D179)=0,"Unknown deal type",IF($P179="Outside window","Clawback outside window: not reversed","OK"))))))</f>
        <v/>
      </c>
      <c r="S179">
        <f>AND(ISNUMBER($B179),OR($F179=Statement!$C$3,$H179=Statement!$C$3),OR(AND($B179&gt;=Statement!$C$6,$B179&lt;=Statement!$C$7),AND(ISNUMBER($Q179),$Q179&gt;=Statement!$C$6,$Q179&lt;=Statement!$C$7)))</f>
        <v/>
      </c>
      <c r="T179">
        <f>IF($S179,COUNTIF($S$2:$S179,TRUE),"")</f>
        <v/>
      </c>
      <c r="U179" s="17">
        <f>IF($F179=Statement!$C$3,$N179,0)+IF($H179=Statement!$C$3,$O179,0)</f>
        <v/>
      </c>
      <c r="V179" s="17">
        <f>IF(NOT($S179),0,IF(AND($B179&gt;=Statement!$C$6,$B179&lt;=Statement!$C$7),$U179,0)-IF(ISNUMBER($Q179),IF(AND($Q179&gt;=Statement!$C$6,$Q179&lt;=Statement!$C$7),$U179,0),0))</f>
        <v/>
      </c>
      <c r="W179" s="23">
        <f>IF($F179=Statement!$C$3,$G179,0)+IF($H179=Statement!$C$3,IF($I179="",0,$I179),0)</f>
        <v/>
      </c>
      <c r="X179">
        <f>IF(NOT($S179),"",IF(ISNUMBER($Q179),IF(AND($Q179&gt;=Statement!$C$6,$Q179&lt;=Statement!$C$7),"Clawback: credit reversed",""),"")&amp;IF(AND($B179&gt;=Statement!$C$6,$B179&lt;=Statement!$C$7,N($L179)&lt;1),"Partial credit: "&amp;TEXT($L179,"0%"),""))</f>
        <v/>
      </c>
    </row>
    <row r="180">
      <c r="A180" s="19" t="n"/>
      <c r="B180" s="20" t="n"/>
      <c r="C180" s="19" t="n"/>
      <c r="D180" s="19" t="n"/>
      <c r="E180" s="21" t="n"/>
      <c r="F180" s="19" t="n"/>
      <c r="G180" s="22" t="n"/>
      <c r="H180" s="19" t="n"/>
      <c r="I180" s="22" t="n"/>
      <c r="J180" s="20" t="n"/>
      <c r="K180" s="19" t="n"/>
      <c r="L180" s="23">
        <f>IF($E180="","",IFERROR(VLOOKUP($D180,'Plan setup'!$A$17:$B$21,2,FALSE),0))</f>
        <v/>
      </c>
      <c r="M180" s="17">
        <f>IF($E180="","",$E180*$L180)</f>
        <v/>
      </c>
      <c r="N180" s="17">
        <f>IF(OR($E180="",$F180=""),0,$M180*$G180)</f>
        <v/>
      </c>
      <c r="O180" s="17">
        <f>IF(OR($E180="",$H180=""),0,$M180*$I180)</f>
        <v/>
      </c>
      <c r="P180">
        <f>IF($J180="","",IF($J180-$B180&lt;='Plan setup'!$B$5,"Reversed","Outside window"))</f>
        <v/>
      </c>
      <c r="Q180" s="24">
        <f>IF($P180="Reversed",$J180,"")</f>
        <v/>
      </c>
      <c r="R180">
        <f>IF($E180="","",IF(ABS($G180+IF($I180="",0,$I180)-1)&gt;0.0001,"Splits must total 100%",IF(COUNTIF('Plan setup'!$A$25:$A$34,$F180)=0,"Rep 1 not in Plan setup",IF(IF($H180="",FALSE,COUNTIF('Plan setup'!$A$25:$A$34,$H180)=0),"Rep 2 not in Plan setup",IF(COUNTIF('Plan setup'!$A$17:$A$21,$D180)=0,"Unknown deal type",IF($P180="Outside window","Clawback outside window: not reversed","OK"))))))</f>
        <v/>
      </c>
      <c r="S180">
        <f>AND(ISNUMBER($B180),OR($F180=Statement!$C$3,$H180=Statement!$C$3),OR(AND($B180&gt;=Statement!$C$6,$B180&lt;=Statement!$C$7),AND(ISNUMBER($Q180),$Q180&gt;=Statement!$C$6,$Q180&lt;=Statement!$C$7)))</f>
        <v/>
      </c>
      <c r="T180">
        <f>IF($S180,COUNTIF($S$2:$S180,TRUE),"")</f>
        <v/>
      </c>
      <c r="U180" s="17">
        <f>IF($F180=Statement!$C$3,$N180,0)+IF($H180=Statement!$C$3,$O180,0)</f>
        <v/>
      </c>
      <c r="V180" s="17">
        <f>IF(NOT($S180),0,IF(AND($B180&gt;=Statement!$C$6,$B180&lt;=Statement!$C$7),$U180,0)-IF(ISNUMBER($Q180),IF(AND($Q180&gt;=Statement!$C$6,$Q180&lt;=Statement!$C$7),$U180,0),0))</f>
        <v/>
      </c>
      <c r="W180" s="23">
        <f>IF($F180=Statement!$C$3,$G180,0)+IF($H180=Statement!$C$3,IF($I180="",0,$I180),0)</f>
        <v/>
      </c>
      <c r="X180">
        <f>IF(NOT($S180),"",IF(ISNUMBER($Q180),IF(AND($Q180&gt;=Statement!$C$6,$Q180&lt;=Statement!$C$7),"Clawback: credit reversed",""),"")&amp;IF(AND($B180&gt;=Statement!$C$6,$B180&lt;=Statement!$C$7,N($L180)&lt;1),"Partial credit: "&amp;TEXT($L180,"0%"),""))</f>
        <v/>
      </c>
    </row>
    <row r="181">
      <c r="A181" s="19" t="n"/>
      <c r="B181" s="20" t="n"/>
      <c r="C181" s="19" t="n"/>
      <c r="D181" s="19" t="n"/>
      <c r="E181" s="21" t="n"/>
      <c r="F181" s="19" t="n"/>
      <c r="G181" s="22" t="n"/>
      <c r="H181" s="19" t="n"/>
      <c r="I181" s="22" t="n"/>
      <c r="J181" s="20" t="n"/>
      <c r="K181" s="19" t="n"/>
      <c r="L181" s="23">
        <f>IF($E181="","",IFERROR(VLOOKUP($D181,'Plan setup'!$A$17:$B$21,2,FALSE),0))</f>
        <v/>
      </c>
      <c r="M181" s="17">
        <f>IF($E181="","",$E181*$L181)</f>
        <v/>
      </c>
      <c r="N181" s="17">
        <f>IF(OR($E181="",$F181=""),0,$M181*$G181)</f>
        <v/>
      </c>
      <c r="O181" s="17">
        <f>IF(OR($E181="",$H181=""),0,$M181*$I181)</f>
        <v/>
      </c>
      <c r="P181">
        <f>IF($J181="","",IF($J181-$B181&lt;='Plan setup'!$B$5,"Reversed","Outside window"))</f>
        <v/>
      </c>
      <c r="Q181" s="24">
        <f>IF($P181="Reversed",$J181,"")</f>
        <v/>
      </c>
      <c r="R181">
        <f>IF($E181="","",IF(ABS($G181+IF($I181="",0,$I181)-1)&gt;0.0001,"Splits must total 100%",IF(COUNTIF('Plan setup'!$A$25:$A$34,$F181)=0,"Rep 1 not in Plan setup",IF(IF($H181="",FALSE,COUNTIF('Plan setup'!$A$25:$A$34,$H181)=0),"Rep 2 not in Plan setup",IF(COUNTIF('Plan setup'!$A$17:$A$21,$D181)=0,"Unknown deal type",IF($P181="Outside window","Clawback outside window: not reversed","OK"))))))</f>
        <v/>
      </c>
      <c r="S181">
        <f>AND(ISNUMBER($B181),OR($F181=Statement!$C$3,$H181=Statement!$C$3),OR(AND($B181&gt;=Statement!$C$6,$B181&lt;=Statement!$C$7),AND(ISNUMBER($Q181),$Q181&gt;=Statement!$C$6,$Q181&lt;=Statement!$C$7)))</f>
        <v/>
      </c>
      <c r="T181">
        <f>IF($S181,COUNTIF($S$2:$S181,TRUE),"")</f>
        <v/>
      </c>
      <c r="U181" s="17">
        <f>IF($F181=Statement!$C$3,$N181,0)+IF($H181=Statement!$C$3,$O181,0)</f>
        <v/>
      </c>
      <c r="V181" s="17">
        <f>IF(NOT($S181),0,IF(AND($B181&gt;=Statement!$C$6,$B181&lt;=Statement!$C$7),$U181,0)-IF(ISNUMBER($Q181),IF(AND($Q181&gt;=Statement!$C$6,$Q181&lt;=Statement!$C$7),$U181,0),0))</f>
        <v/>
      </c>
      <c r="W181" s="23">
        <f>IF($F181=Statement!$C$3,$G181,0)+IF($H181=Statement!$C$3,IF($I181="",0,$I181),0)</f>
        <v/>
      </c>
      <c r="X181">
        <f>IF(NOT($S181),"",IF(ISNUMBER($Q181),IF(AND($Q181&gt;=Statement!$C$6,$Q181&lt;=Statement!$C$7),"Clawback: credit reversed",""),"")&amp;IF(AND($B181&gt;=Statement!$C$6,$B181&lt;=Statement!$C$7,N($L181)&lt;1),"Partial credit: "&amp;TEXT($L181,"0%"),""))</f>
        <v/>
      </c>
    </row>
    <row r="182">
      <c r="A182" s="19" t="n"/>
      <c r="B182" s="20" t="n"/>
      <c r="C182" s="19" t="n"/>
      <c r="D182" s="19" t="n"/>
      <c r="E182" s="21" t="n"/>
      <c r="F182" s="19" t="n"/>
      <c r="G182" s="22" t="n"/>
      <c r="H182" s="19" t="n"/>
      <c r="I182" s="22" t="n"/>
      <c r="J182" s="20" t="n"/>
      <c r="K182" s="19" t="n"/>
      <c r="L182" s="23">
        <f>IF($E182="","",IFERROR(VLOOKUP($D182,'Plan setup'!$A$17:$B$21,2,FALSE),0))</f>
        <v/>
      </c>
      <c r="M182" s="17">
        <f>IF($E182="","",$E182*$L182)</f>
        <v/>
      </c>
      <c r="N182" s="17">
        <f>IF(OR($E182="",$F182=""),0,$M182*$G182)</f>
        <v/>
      </c>
      <c r="O182" s="17">
        <f>IF(OR($E182="",$H182=""),0,$M182*$I182)</f>
        <v/>
      </c>
      <c r="P182">
        <f>IF($J182="","",IF($J182-$B182&lt;='Plan setup'!$B$5,"Reversed","Outside window"))</f>
        <v/>
      </c>
      <c r="Q182" s="24">
        <f>IF($P182="Reversed",$J182,"")</f>
        <v/>
      </c>
      <c r="R182">
        <f>IF($E182="","",IF(ABS($G182+IF($I182="",0,$I182)-1)&gt;0.0001,"Splits must total 100%",IF(COUNTIF('Plan setup'!$A$25:$A$34,$F182)=0,"Rep 1 not in Plan setup",IF(IF($H182="",FALSE,COUNTIF('Plan setup'!$A$25:$A$34,$H182)=0),"Rep 2 not in Plan setup",IF(COUNTIF('Plan setup'!$A$17:$A$21,$D182)=0,"Unknown deal type",IF($P182="Outside window","Clawback outside window: not reversed","OK"))))))</f>
        <v/>
      </c>
      <c r="S182">
        <f>AND(ISNUMBER($B182),OR($F182=Statement!$C$3,$H182=Statement!$C$3),OR(AND($B182&gt;=Statement!$C$6,$B182&lt;=Statement!$C$7),AND(ISNUMBER($Q182),$Q182&gt;=Statement!$C$6,$Q182&lt;=Statement!$C$7)))</f>
        <v/>
      </c>
      <c r="T182">
        <f>IF($S182,COUNTIF($S$2:$S182,TRUE),"")</f>
        <v/>
      </c>
      <c r="U182" s="17">
        <f>IF($F182=Statement!$C$3,$N182,0)+IF($H182=Statement!$C$3,$O182,0)</f>
        <v/>
      </c>
      <c r="V182" s="17">
        <f>IF(NOT($S182),0,IF(AND($B182&gt;=Statement!$C$6,$B182&lt;=Statement!$C$7),$U182,0)-IF(ISNUMBER($Q182),IF(AND($Q182&gt;=Statement!$C$6,$Q182&lt;=Statement!$C$7),$U182,0),0))</f>
        <v/>
      </c>
      <c r="W182" s="23">
        <f>IF($F182=Statement!$C$3,$G182,0)+IF($H182=Statement!$C$3,IF($I182="",0,$I182),0)</f>
        <v/>
      </c>
      <c r="X182">
        <f>IF(NOT($S182),"",IF(ISNUMBER($Q182),IF(AND($Q182&gt;=Statement!$C$6,$Q182&lt;=Statement!$C$7),"Clawback: credit reversed",""),"")&amp;IF(AND($B182&gt;=Statement!$C$6,$B182&lt;=Statement!$C$7,N($L182)&lt;1),"Partial credit: "&amp;TEXT($L182,"0%"),""))</f>
        <v/>
      </c>
    </row>
    <row r="183">
      <c r="A183" s="19" t="n"/>
      <c r="B183" s="20" t="n"/>
      <c r="C183" s="19" t="n"/>
      <c r="D183" s="19" t="n"/>
      <c r="E183" s="21" t="n"/>
      <c r="F183" s="19" t="n"/>
      <c r="G183" s="22" t="n"/>
      <c r="H183" s="19" t="n"/>
      <c r="I183" s="22" t="n"/>
      <c r="J183" s="20" t="n"/>
      <c r="K183" s="19" t="n"/>
      <c r="L183" s="23">
        <f>IF($E183="","",IFERROR(VLOOKUP($D183,'Plan setup'!$A$17:$B$21,2,FALSE),0))</f>
        <v/>
      </c>
      <c r="M183" s="17">
        <f>IF($E183="","",$E183*$L183)</f>
        <v/>
      </c>
      <c r="N183" s="17">
        <f>IF(OR($E183="",$F183=""),0,$M183*$G183)</f>
        <v/>
      </c>
      <c r="O183" s="17">
        <f>IF(OR($E183="",$H183=""),0,$M183*$I183)</f>
        <v/>
      </c>
      <c r="P183">
        <f>IF($J183="","",IF($J183-$B183&lt;='Plan setup'!$B$5,"Reversed","Outside window"))</f>
        <v/>
      </c>
      <c r="Q183" s="24">
        <f>IF($P183="Reversed",$J183,"")</f>
        <v/>
      </c>
      <c r="R183">
        <f>IF($E183="","",IF(ABS($G183+IF($I183="",0,$I183)-1)&gt;0.0001,"Splits must total 100%",IF(COUNTIF('Plan setup'!$A$25:$A$34,$F183)=0,"Rep 1 not in Plan setup",IF(IF($H183="",FALSE,COUNTIF('Plan setup'!$A$25:$A$34,$H183)=0),"Rep 2 not in Plan setup",IF(COUNTIF('Plan setup'!$A$17:$A$21,$D183)=0,"Unknown deal type",IF($P183="Outside window","Clawback outside window: not reversed","OK"))))))</f>
        <v/>
      </c>
      <c r="S183">
        <f>AND(ISNUMBER($B183),OR($F183=Statement!$C$3,$H183=Statement!$C$3),OR(AND($B183&gt;=Statement!$C$6,$B183&lt;=Statement!$C$7),AND(ISNUMBER($Q183),$Q183&gt;=Statement!$C$6,$Q183&lt;=Statement!$C$7)))</f>
        <v/>
      </c>
      <c r="T183">
        <f>IF($S183,COUNTIF($S$2:$S183,TRUE),"")</f>
        <v/>
      </c>
      <c r="U183" s="17">
        <f>IF($F183=Statement!$C$3,$N183,0)+IF($H183=Statement!$C$3,$O183,0)</f>
        <v/>
      </c>
      <c r="V183" s="17">
        <f>IF(NOT($S183),0,IF(AND($B183&gt;=Statement!$C$6,$B183&lt;=Statement!$C$7),$U183,0)-IF(ISNUMBER($Q183),IF(AND($Q183&gt;=Statement!$C$6,$Q183&lt;=Statement!$C$7),$U183,0),0))</f>
        <v/>
      </c>
      <c r="W183" s="23">
        <f>IF($F183=Statement!$C$3,$G183,0)+IF($H183=Statement!$C$3,IF($I183="",0,$I183),0)</f>
        <v/>
      </c>
      <c r="X183">
        <f>IF(NOT($S183),"",IF(ISNUMBER($Q183),IF(AND($Q183&gt;=Statement!$C$6,$Q183&lt;=Statement!$C$7),"Clawback: credit reversed",""),"")&amp;IF(AND($B183&gt;=Statement!$C$6,$B183&lt;=Statement!$C$7,N($L183)&lt;1),"Partial credit: "&amp;TEXT($L183,"0%"),""))</f>
        <v/>
      </c>
    </row>
    <row r="184">
      <c r="A184" s="19" t="n"/>
      <c r="B184" s="20" t="n"/>
      <c r="C184" s="19" t="n"/>
      <c r="D184" s="19" t="n"/>
      <c r="E184" s="21" t="n"/>
      <c r="F184" s="19" t="n"/>
      <c r="G184" s="22" t="n"/>
      <c r="H184" s="19" t="n"/>
      <c r="I184" s="22" t="n"/>
      <c r="J184" s="20" t="n"/>
      <c r="K184" s="19" t="n"/>
      <c r="L184" s="23">
        <f>IF($E184="","",IFERROR(VLOOKUP($D184,'Plan setup'!$A$17:$B$21,2,FALSE),0))</f>
        <v/>
      </c>
      <c r="M184" s="17">
        <f>IF($E184="","",$E184*$L184)</f>
        <v/>
      </c>
      <c r="N184" s="17">
        <f>IF(OR($E184="",$F184=""),0,$M184*$G184)</f>
        <v/>
      </c>
      <c r="O184" s="17">
        <f>IF(OR($E184="",$H184=""),0,$M184*$I184)</f>
        <v/>
      </c>
      <c r="P184">
        <f>IF($J184="","",IF($J184-$B184&lt;='Plan setup'!$B$5,"Reversed","Outside window"))</f>
        <v/>
      </c>
      <c r="Q184" s="24">
        <f>IF($P184="Reversed",$J184,"")</f>
        <v/>
      </c>
      <c r="R184">
        <f>IF($E184="","",IF(ABS($G184+IF($I184="",0,$I184)-1)&gt;0.0001,"Splits must total 100%",IF(COUNTIF('Plan setup'!$A$25:$A$34,$F184)=0,"Rep 1 not in Plan setup",IF(IF($H184="",FALSE,COUNTIF('Plan setup'!$A$25:$A$34,$H184)=0),"Rep 2 not in Plan setup",IF(COUNTIF('Plan setup'!$A$17:$A$21,$D184)=0,"Unknown deal type",IF($P184="Outside window","Clawback outside window: not reversed","OK"))))))</f>
        <v/>
      </c>
      <c r="S184">
        <f>AND(ISNUMBER($B184),OR($F184=Statement!$C$3,$H184=Statement!$C$3),OR(AND($B184&gt;=Statement!$C$6,$B184&lt;=Statement!$C$7),AND(ISNUMBER($Q184),$Q184&gt;=Statement!$C$6,$Q184&lt;=Statement!$C$7)))</f>
        <v/>
      </c>
      <c r="T184">
        <f>IF($S184,COUNTIF($S$2:$S184,TRUE),"")</f>
        <v/>
      </c>
      <c r="U184" s="17">
        <f>IF($F184=Statement!$C$3,$N184,0)+IF($H184=Statement!$C$3,$O184,0)</f>
        <v/>
      </c>
      <c r="V184" s="17">
        <f>IF(NOT($S184),0,IF(AND($B184&gt;=Statement!$C$6,$B184&lt;=Statement!$C$7),$U184,0)-IF(ISNUMBER($Q184),IF(AND($Q184&gt;=Statement!$C$6,$Q184&lt;=Statement!$C$7),$U184,0),0))</f>
        <v/>
      </c>
      <c r="W184" s="23">
        <f>IF($F184=Statement!$C$3,$G184,0)+IF($H184=Statement!$C$3,IF($I184="",0,$I184),0)</f>
        <v/>
      </c>
      <c r="X184">
        <f>IF(NOT($S184),"",IF(ISNUMBER($Q184),IF(AND($Q184&gt;=Statement!$C$6,$Q184&lt;=Statement!$C$7),"Clawback: credit reversed",""),"")&amp;IF(AND($B184&gt;=Statement!$C$6,$B184&lt;=Statement!$C$7,N($L184)&lt;1),"Partial credit: "&amp;TEXT($L184,"0%"),""))</f>
        <v/>
      </c>
    </row>
    <row r="185">
      <c r="A185" s="19" t="n"/>
      <c r="B185" s="20" t="n"/>
      <c r="C185" s="19" t="n"/>
      <c r="D185" s="19" t="n"/>
      <c r="E185" s="21" t="n"/>
      <c r="F185" s="19" t="n"/>
      <c r="G185" s="22" t="n"/>
      <c r="H185" s="19" t="n"/>
      <c r="I185" s="22" t="n"/>
      <c r="J185" s="20" t="n"/>
      <c r="K185" s="19" t="n"/>
      <c r="L185" s="23">
        <f>IF($E185="","",IFERROR(VLOOKUP($D185,'Plan setup'!$A$17:$B$21,2,FALSE),0))</f>
        <v/>
      </c>
      <c r="M185" s="17">
        <f>IF($E185="","",$E185*$L185)</f>
        <v/>
      </c>
      <c r="N185" s="17">
        <f>IF(OR($E185="",$F185=""),0,$M185*$G185)</f>
        <v/>
      </c>
      <c r="O185" s="17">
        <f>IF(OR($E185="",$H185=""),0,$M185*$I185)</f>
        <v/>
      </c>
      <c r="P185">
        <f>IF($J185="","",IF($J185-$B185&lt;='Plan setup'!$B$5,"Reversed","Outside window"))</f>
        <v/>
      </c>
      <c r="Q185" s="24">
        <f>IF($P185="Reversed",$J185,"")</f>
        <v/>
      </c>
      <c r="R185">
        <f>IF($E185="","",IF(ABS($G185+IF($I185="",0,$I185)-1)&gt;0.0001,"Splits must total 100%",IF(COUNTIF('Plan setup'!$A$25:$A$34,$F185)=0,"Rep 1 not in Plan setup",IF(IF($H185="",FALSE,COUNTIF('Plan setup'!$A$25:$A$34,$H185)=0),"Rep 2 not in Plan setup",IF(COUNTIF('Plan setup'!$A$17:$A$21,$D185)=0,"Unknown deal type",IF($P185="Outside window","Clawback outside window: not reversed","OK"))))))</f>
        <v/>
      </c>
      <c r="S185">
        <f>AND(ISNUMBER($B185),OR($F185=Statement!$C$3,$H185=Statement!$C$3),OR(AND($B185&gt;=Statement!$C$6,$B185&lt;=Statement!$C$7),AND(ISNUMBER($Q185),$Q185&gt;=Statement!$C$6,$Q185&lt;=Statement!$C$7)))</f>
        <v/>
      </c>
      <c r="T185">
        <f>IF($S185,COUNTIF($S$2:$S185,TRUE),"")</f>
        <v/>
      </c>
      <c r="U185" s="17">
        <f>IF($F185=Statement!$C$3,$N185,0)+IF($H185=Statement!$C$3,$O185,0)</f>
        <v/>
      </c>
      <c r="V185" s="17">
        <f>IF(NOT($S185),0,IF(AND($B185&gt;=Statement!$C$6,$B185&lt;=Statement!$C$7),$U185,0)-IF(ISNUMBER($Q185),IF(AND($Q185&gt;=Statement!$C$6,$Q185&lt;=Statement!$C$7),$U185,0),0))</f>
        <v/>
      </c>
      <c r="W185" s="23">
        <f>IF($F185=Statement!$C$3,$G185,0)+IF($H185=Statement!$C$3,IF($I185="",0,$I185),0)</f>
        <v/>
      </c>
      <c r="X185">
        <f>IF(NOT($S185),"",IF(ISNUMBER($Q185),IF(AND($Q185&gt;=Statement!$C$6,$Q185&lt;=Statement!$C$7),"Clawback: credit reversed",""),"")&amp;IF(AND($B185&gt;=Statement!$C$6,$B185&lt;=Statement!$C$7,N($L185)&lt;1),"Partial credit: "&amp;TEXT($L185,"0%"),""))</f>
        <v/>
      </c>
    </row>
    <row r="186">
      <c r="A186" s="19" t="n"/>
      <c r="B186" s="20" t="n"/>
      <c r="C186" s="19" t="n"/>
      <c r="D186" s="19" t="n"/>
      <c r="E186" s="21" t="n"/>
      <c r="F186" s="19" t="n"/>
      <c r="G186" s="22" t="n"/>
      <c r="H186" s="19" t="n"/>
      <c r="I186" s="22" t="n"/>
      <c r="J186" s="20" t="n"/>
      <c r="K186" s="19" t="n"/>
      <c r="L186" s="23">
        <f>IF($E186="","",IFERROR(VLOOKUP($D186,'Plan setup'!$A$17:$B$21,2,FALSE),0))</f>
        <v/>
      </c>
      <c r="M186" s="17">
        <f>IF($E186="","",$E186*$L186)</f>
        <v/>
      </c>
      <c r="N186" s="17">
        <f>IF(OR($E186="",$F186=""),0,$M186*$G186)</f>
        <v/>
      </c>
      <c r="O186" s="17">
        <f>IF(OR($E186="",$H186=""),0,$M186*$I186)</f>
        <v/>
      </c>
      <c r="P186">
        <f>IF($J186="","",IF($J186-$B186&lt;='Plan setup'!$B$5,"Reversed","Outside window"))</f>
        <v/>
      </c>
      <c r="Q186" s="24">
        <f>IF($P186="Reversed",$J186,"")</f>
        <v/>
      </c>
      <c r="R186">
        <f>IF($E186="","",IF(ABS($G186+IF($I186="",0,$I186)-1)&gt;0.0001,"Splits must total 100%",IF(COUNTIF('Plan setup'!$A$25:$A$34,$F186)=0,"Rep 1 not in Plan setup",IF(IF($H186="",FALSE,COUNTIF('Plan setup'!$A$25:$A$34,$H186)=0),"Rep 2 not in Plan setup",IF(COUNTIF('Plan setup'!$A$17:$A$21,$D186)=0,"Unknown deal type",IF($P186="Outside window","Clawback outside window: not reversed","OK"))))))</f>
        <v/>
      </c>
      <c r="S186">
        <f>AND(ISNUMBER($B186),OR($F186=Statement!$C$3,$H186=Statement!$C$3),OR(AND($B186&gt;=Statement!$C$6,$B186&lt;=Statement!$C$7),AND(ISNUMBER($Q186),$Q186&gt;=Statement!$C$6,$Q186&lt;=Statement!$C$7)))</f>
        <v/>
      </c>
      <c r="T186">
        <f>IF($S186,COUNTIF($S$2:$S186,TRUE),"")</f>
        <v/>
      </c>
      <c r="U186" s="17">
        <f>IF($F186=Statement!$C$3,$N186,0)+IF($H186=Statement!$C$3,$O186,0)</f>
        <v/>
      </c>
      <c r="V186" s="17">
        <f>IF(NOT($S186),0,IF(AND($B186&gt;=Statement!$C$6,$B186&lt;=Statement!$C$7),$U186,0)-IF(ISNUMBER($Q186),IF(AND($Q186&gt;=Statement!$C$6,$Q186&lt;=Statement!$C$7),$U186,0),0))</f>
        <v/>
      </c>
      <c r="W186" s="23">
        <f>IF($F186=Statement!$C$3,$G186,0)+IF($H186=Statement!$C$3,IF($I186="",0,$I186),0)</f>
        <v/>
      </c>
      <c r="X186">
        <f>IF(NOT($S186),"",IF(ISNUMBER($Q186),IF(AND($Q186&gt;=Statement!$C$6,$Q186&lt;=Statement!$C$7),"Clawback: credit reversed",""),"")&amp;IF(AND($B186&gt;=Statement!$C$6,$B186&lt;=Statement!$C$7,N($L186)&lt;1),"Partial credit: "&amp;TEXT($L186,"0%"),""))</f>
        <v/>
      </c>
    </row>
    <row r="187">
      <c r="A187" s="19" t="n"/>
      <c r="B187" s="20" t="n"/>
      <c r="C187" s="19" t="n"/>
      <c r="D187" s="19" t="n"/>
      <c r="E187" s="21" t="n"/>
      <c r="F187" s="19" t="n"/>
      <c r="G187" s="22" t="n"/>
      <c r="H187" s="19" t="n"/>
      <c r="I187" s="22" t="n"/>
      <c r="J187" s="20" t="n"/>
      <c r="K187" s="19" t="n"/>
      <c r="L187" s="23">
        <f>IF($E187="","",IFERROR(VLOOKUP($D187,'Plan setup'!$A$17:$B$21,2,FALSE),0))</f>
        <v/>
      </c>
      <c r="M187" s="17">
        <f>IF($E187="","",$E187*$L187)</f>
        <v/>
      </c>
      <c r="N187" s="17">
        <f>IF(OR($E187="",$F187=""),0,$M187*$G187)</f>
        <v/>
      </c>
      <c r="O187" s="17">
        <f>IF(OR($E187="",$H187=""),0,$M187*$I187)</f>
        <v/>
      </c>
      <c r="P187">
        <f>IF($J187="","",IF($J187-$B187&lt;='Plan setup'!$B$5,"Reversed","Outside window"))</f>
        <v/>
      </c>
      <c r="Q187" s="24">
        <f>IF($P187="Reversed",$J187,"")</f>
        <v/>
      </c>
      <c r="R187">
        <f>IF($E187="","",IF(ABS($G187+IF($I187="",0,$I187)-1)&gt;0.0001,"Splits must total 100%",IF(COUNTIF('Plan setup'!$A$25:$A$34,$F187)=0,"Rep 1 not in Plan setup",IF(IF($H187="",FALSE,COUNTIF('Plan setup'!$A$25:$A$34,$H187)=0),"Rep 2 not in Plan setup",IF(COUNTIF('Plan setup'!$A$17:$A$21,$D187)=0,"Unknown deal type",IF($P187="Outside window","Clawback outside window: not reversed","OK"))))))</f>
        <v/>
      </c>
      <c r="S187">
        <f>AND(ISNUMBER($B187),OR($F187=Statement!$C$3,$H187=Statement!$C$3),OR(AND($B187&gt;=Statement!$C$6,$B187&lt;=Statement!$C$7),AND(ISNUMBER($Q187),$Q187&gt;=Statement!$C$6,$Q187&lt;=Statement!$C$7)))</f>
        <v/>
      </c>
      <c r="T187">
        <f>IF($S187,COUNTIF($S$2:$S187,TRUE),"")</f>
        <v/>
      </c>
      <c r="U187" s="17">
        <f>IF($F187=Statement!$C$3,$N187,0)+IF($H187=Statement!$C$3,$O187,0)</f>
        <v/>
      </c>
      <c r="V187" s="17">
        <f>IF(NOT($S187),0,IF(AND($B187&gt;=Statement!$C$6,$B187&lt;=Statement!$C$7),$U187,0)-IF(ISNUMBER($Q187),IF(AND($Q187&gt;=Statement!$C$6,$Q187&lt;=Statement!$C$7),$U187,0),0))</f>
        <v/>
      </c>
      <c r="W187" s="23">
        <f>IF($F187=Statement!$C$3,$G187,0)+IF($H187=Statement!$C$3,IF($I187="",0,$I187),0)</f>
        <v/>
      </c>
      <c r="X187">
        <f>IF(NOT($S187),"",IF(ISNUMBER($Q187),IF(AND($Q187&gt;=Statement!$C$6,$Q187&lt;=Statement!$C$7),"Clawback: credit reversed",""),"")&amp;IF(AND($B187&gt;=Statement!$C$6,$B187&lt;=Statement!$C$7,N($L187)&lt;1),"Partial credit: "&amp;TEXT($L187,"0%"),""))</f>
        <v/>
      </c>
    </row>
    <row r="188">
      <c r="A188" s="19" t="n"/>
      <c r="B188" s="20" t="n"/>
      <c r="C188" s="19" t="n"/>
      <c r="D188" s="19" t="n"/>
      <c r="E188" s="21" t="n"/>
      <c r="F188" s="19" t="n"/>
      <c r="G188" s="22" t="n"/>
      <c r="H188" s="19" t="n"/>
      <c r="I188" s="22" t="n"/>
      <c r="J188" s="20" t="n"/>
      <c r="K188" s="19" t="n"/>
      <c r="L188" s="23">
        <f>IF($E188="","",IFERROR(VLOOKUP($D188,'Plan setup'!$A$17:$B$21,2,FALSE),0))</f>
        <v/>
      </c>
      <c r="M188" s="17">
        <f>IF($E188="","",$E188*$L188)</f>
        <v/>
      </c>
      <c r="N188" s="17">
        <f>IF(OR($E188="",$F188=""),0,$M188*$G188)</f>
        <v/>
      </c>
      <c r="O188" s="17">
        <f>IF(OR($E188="",$H188=""),0,$M188*$I188)</f>
        <v/>
      </c>
      <c r="P188">
        <f>IF($J188="","",IF($J188-$B188&lt;='Plan setup'!$B$5,"Reversed","Outside window"))</f>
        <v/>
      </c>
      <c r="Q188" s="24">
        <f>IF($P188="Reversed",$J188,"")</f>
        <v/>
      </c>
      <c r="R188">
        <f>IF($E188="","",IF(ABS($G188+IF($I188="",0,$I188)-1)&gt;0.0001,"Splits must total 100%",IF(COUNTIF('Plan setup'!$A$25:$A$34,$F188)=0,"Rep 1 not in Plan setup",IF(IF($H188="",FALSE,COUNTIF('Plan setup'!$A$25:$A$34,$H188)=0),"Rep 2 not in Plan setup",IF(COUNTIF('Plan setup'!$A$17:$A$21,$D188)=0,"Unknown deal type",IF($P188="Outside window","Clawback outside window: not reversed","OK"))))))</f>
        <v/>
      </c>
      <c r="S188">
        <f>AND(ISNUMBER($B188),OR($F188=Statement!$C$3,$H188=Statement!$C$3),OR(AND($B188&gt;=Statement!$C$6,$B188&lt;=Statement!$C$7),AND(ISNUMBER($Q188),$Q188&gt;=Statement!$C$6,$Q188&lt;=Statement!$C$7)))</f>
        <v/>
      </c>
      <c r="T188">
        <f>IF($S188,COUNTIF($S$2:$S188,TRUE),"")</f>
        <v/>
      </c>
      <c r="U188" s="17">
        <f>IF($F188=Statement!$C$3,$N188,0)+IF($H188=Statement!$C$3,$O188,0)</f>
        <v/>
      </c>
      <c r="V188" s="17">
        <f>IF(NOT($S188),0,IF(AND($B188&gt;=Statement!$C$6,$B188&lt;=Statement!$C$7),$U188,0)-IF(ISNUMBER($Q188),IF(AND($Q188&gt;=Statement!$C$6,$Q188&lt;=Statement!$C$7),$U188,0),0))</f>
        <v/>
      </c>
      <c r="W188" s="23">
        <f>IF($F188=Statement!$C$3,$G188,0)+IF($H188=Statement!$C$3,IF($I188="",0,$I188),0)</f>
        <v/>
      </c>
      <c r="X188">
        <f>IF(NOT($S188),"",IF(ISNUMBER($Q188),IF(AND($Q188&gt;=Statement!$C$6,$Q188&lt;=Statement!$C$7),"Clawback: credit reversed",""),"")&amp;IF(AND($B188&gt;=Statement!$C$6,$B188&lt;=Statement!$C$7,N($L188)&lt;1),"Partial credit: "&amp;TEXT($L188,"0%"),""))</f>
        <v/>
      </c>
    </row>
    <row r="189">
      <c r="A189" s="19" t="n"/>
      <c r="B189" s="20" t="n"/>
      <c r="C189" s="19" t="n"/>
      <c r="D189" s="19" t="n"/>
      <c r="E189" s="21" t="n"/>
      <c r="F189" s="19" t="n"/>
      <c r="G189" s="22" t="n"/>
      <c r="H189" s="19" t="n"/>
      <c r="I189" s="22" t="n"/>
      <c r="J189" s="20" t="n"/>
      <c r="K189" s="19" t="n"/>
      <c r="L189" s="23">
        <f>IF($E189="","",IFERROR(VLOOKUP($D189,'Plan setup'!$A$17:$B$21,2,FALSE),0))</f>
        <v/>
      </c>
      <c r="M189" s="17">
        <f>IF($E189="","",$E189*$L189)</f>
        <v/>
      </c>
      <c r="N189" s="17">
        <f>IF(OR($E189="",$F189=""),0,$M189*$G189)</f>
        <v/>
      </c>
      <c r="O189" s="17">
        <f>IF(OR($E189="",$H189=""),0,$M189*$I189)</f>
        <v/>
      </c>
      <c r="P189">
        <f>IF($J189="","",IF($J189-$B189&lt;='Plan setup'!$B$5,"Reversed","Outside window"))</f>
        <v/>
      </c>
      <c r="Q189" s="24">
        <f>IF($P189="Reversed",$J189,"")</f>
        <v/>
      </c>
      <c r="R189">
        <f>IF($E189="","",IF(ABS($G189+IF($I189="",0,$I189)-1)&gt;0.0001,"Splits must total 100%",IF(COUNTIF('Plan setup'!$A$25:$A$34,$F189)=0,"Rep 1 not in Plan setup",IF(IF($H189="",FALSE,COUNTIF('Plan setup'!$A$25:$A$34,$H189)=0),"Rep 2 not in Plan setup",IF(COUNTIF('Plan setup'!$A$17:$A$21,$D189)=0,"Unknown deal type",IF($P189="Outside window","Clawback outside window: not reversed","OK"))))))</f>
        <v/>
      </c>
      <c r="S189">
        <f>AND(ISNUMBER($B189),OR($F189=Statement!$C$3,$H189=Statement!$C$3),OR(AND($B189&gt;=Statement!$C$6,$B189&lt;=Statement!$C$7),AND(ISNUMBER($Q189),$Q189&gt;=Statement!$C$6,$Q189&lt;=Statement!$C$7)))</f>
        <v/>
      </c>
      <c r="T189">
        <f>IF($S189,COUNTIF($S$2:$S189,TRUE),"")</f>
        <v/>
      </c>
      <c r="U189" s="17">
        <f>IF($F189=Statement!$C$3,$N189,0)+IF($H189=Statement!$C$3,$O189,0)</f>
        <v/>
      </c>
      <c r="V189" s="17">
        <f>IF(NOT($S189),0,IF(AND($B189&gt;=Statement!$C$6,$B189&lt;=Statement!$C$7),$U189,0)-IF(ISNUMBER($Q189),IF(AND($Q189&gt;=Statement!$C$6,$Q189&lt;=Statement!$C$7),$U189,0),0))</f>
        <v/>
      </c>
      <c r="W189" s="23">
        <f>IF($F189=Statement!$C$3,$G189,0)+IF($H189=Statement!$C$3,IF($I189="",0,$I189),0)</f>
        <v/>
      </c>
      <c r="X189">
        <f>IF(NOT($S189),"",IF(ISNUMBER($Q189),IF(AND($Q189&gt;=Statement!$C$6,$Q189&lt;=Statement!$C$7),"Clawback: credit reversed",""),"")&amp;IF(AND($B189&gt;=Statement!$C$6,$B189&lt;=Statement!$C$7,N($L189)&lt;1),"Partial credit: "&amp;TEXT($L189,"0%"),""))</f>
        <v/>
      </c>
    </row>
    <row r="190">
      <c r="A190" s="19" t="n"/>
      <c r="B190" s="20" t="n"/>
      <c r="C190" s="19" t="n"/>
      <c r="D190" s="19" t="n"/>
      <c r="E190" s="21" t="n"/>
      <c r="F190" s="19" t="n"/>
      <c r="G190" s="22" t="n"/>
      <c r="H190" s="19" t="n"/>
      <c r="I190" s="22" t="n"/>
      <c r="J190" s="20" t="n"/>
      <c r="K190" s="19" t="n"/>
      <c r="L190" s="23">
        <f>IF($E190="","",IFERROR(VLOOKUP($D190,'Plan setup'!$A$17:$B$21,2,FALSE),0))</f>
        <v/>
      </c>
      <c r="M190" s="17">
        <f>IF($E190="","",$E190*$L190)</f>
        <v/>
      </c>
      <c r="N190" s="17">
        <f>IF(OR($E190="",$F190=""),0,$M190*$G190)</f>
        <v/>
      </c>
      <c r="O190" s="17">
        <f>IF(OR($E190="",$H190=""),0,$M190*$I190)</f>
        <v/>
      </c>
      <c r="P190">
        <f>IF($J190="","",IF($J190-$B190&lt;='Plan setup'!$B$5,"Reversed","Outside window"))</f>
        <v/>
      </c>
      <c r="Q190" s="24">
        <f>IF($P190="Reversed",$J190,"")</f>
        <v/>
      </c>
      <c r="R190">
        <f>IF($E190="","",IF(ABS($G190+IF($I190="",0,$I190)-1)&gt;0.0001,"Splits must total 100%",IF(COUNTIF('Plan setup'!$A$25:$A$34,$F190)=0,"Rep 1 not in Plan setup",IF(IF($H190="",FALSE,COUNTIF('Plan setup'!$A$25:$A$34,$H190)=0),"Rep 2 not in Plan setup",IF(COUNTIF('Plan setup'!$A$17:$A$21,$D190)=0,"Unknown deal type",IF($P190="Outside window","Clawback outside window: not reversed","OK"))))))</f>
        <v/>
      </c>
      <c r="S190">
        <f>AND(ISNUMBER($B190),OR($F190=Statement!$C$3,$H190=Statement!$C$3),OR(AND($B190&gt;=Statement!$C$6,$B190&lt;=Statement!$C$7),AND(ISNUMBER($Q190),$Q190&gt;=Statement!$C$6,$Q190&lt;=Statement!$C$7)))</f>
        <v/>
      </c>
      <c r="T190">
        <f>IF($S190,COUNTIF($S$2:$S190,TRUE),"")</f>
        <v/>
      </c>
      <c r="U190" s="17">
        <f>IF($F190=Statement!$C$3,$N190,0)+IF($H190=Statement!$C$3,$O190,0)</f>
        <v/>
      </c>
      <c r="V190" s="17">
        <f>IF(NOT($S190),0,IF(AND($B190&gt;=Statement!$C$6,$B190&lt;=Statement!$C$7),$U190,0)-IF(ISNUMBER($Q190),IF(AND($Q190&gt;=Statement!$C$6,$Q190&lt;=Statement!$C$7),$U190,0),0))</f>
        <v/>
      </c>
      <c r="W190" s="23">
        <f>IF($F190=Statement!$C$3,$G190,0)+IF($H190=Statement!$C$3,IF($I190="",0,$I190),0)</f>
        <v/>
      </c>
      <c r="X190">
        <f>IF(NOT($S190),"",IF(ISNUMBER($Q190),IF(AND($Q190&gt;=Statement!$C$6,$Q190&lt;=Statement!$C$7),"Clawback: credit reversed",""),"")&amp;IF(AND($B190&gt;=Statement!$C$6,$B190&lt;=Statement!$C$7,N($L190)&lt;1),"Partial credit: "&amp;TEXT($L190,"0%"),""))</f>
        <v/>
      </c>
    </row>
    <row r="191">
      <c r="A191" s="19" t="n"/>
      <c r="B191" s="20" t="n"/>
      <c r="C191" s="19" t="n"/>
      <c r="D191" s="19" t="n"/>
      <c r="E191" s="21" t="n"/>
      <c r="F191" s="19" t="n"/>
      <c r="G191" s="22" t="n"/>
      <c r="H191" s="19" t="n"/>
      <c r="I191" s="22" t="n"/>
      <c r="J191" s="20" t="n"/>
      <c r="K191" s="19" t="n"/>
      <c r="L191" s="23">
        <f>IF($E191="","",IFERROR(VLOOKUP($D191,'Plan setup'!$A$17:$B$21,2,FALSE),0))</f>
        <v/>
      </c>
      <c r="M191" s="17">
        <f>IF($E191="","",$E191*$L191)</f>
        <v/>
      </c>
      <c r="N191" s="17">
        <f>IF(OR($E191="",$F191=""),0,$M191*$G191)</f>
        <v/>
      </c>
      <c r="O191" s="17">
        <f>IF(OR($E191="",$H191=""),0,$M191*$I191)</f>
        <v/>
      </c>
      <c r="P191">
        <f>IF($J191="","",IF($J191-$B191&lt;='Plan setup'!$B$5,"Reversed","Outside window"))</f>
        <v/>
      </c>
      <c r="Q191" s="24">
        <f>IF($P191="Reversed",$J191,"")</f>
        <v/>
      </c>
      <c r="R191">
        <f>IF($E191="","",IF(ABS($G191+IF($I191="",0,$I191)-1)&gt;0.0001,"Splits must total 100%",IF(COUNTIF('Plan setup'!$A$25:$A$34,$F191)=0,"Rep 1 not in Plan setup",IF(IF($H191="",FALSE,COUNTIF('Plan setup'!$A$25:$A$34,$H191)=0),"Rep 2 not in Plan setup",IF(COUNTIF('Plan setup'!$A$17:$A$21,$D191)=0,"Unknown deal type",IF($P191="Outside window","Clawback outside window: not reversed","OK"))))))</f>
        <v/>
      </c>
      <c r="S191">
        <f>AND(ISNUMBER($B191),OR($F191=Statement!$C$3,$H191=Statement!$C$3),OR(AND($B191&gt;=Statement!$C$6,$B191&lt;=Statement!$C$7),AND(ISNUMBER($Q191),$Q191&gt;=Statement!$C$6,$Q191&lt;=Statement!$C$7)))</f>
        <v/>
      </c>
      <c r="T191">
        <f>IF($S191,COUNTIF($S$2:$S191,TRUE),"")</f>
        <v/>
      </c>
      <c r="U191" s="17">
        <f>IF($F191=Statement!$C$3,$N191,0)+IF($H191=Statement!$C$3,$O191,0)</f>
        <v/>
      </c>
      <c r="V191" s="17">
        <f>IF(NOT($S191),0,IF(AND($B191&gt;=Statement!$C$6,$B191&lt;=Statement!$C$7),$U191,0)-IF(ISNUMBER($Q191),IF(AND($Q191&gt;=Statement!$C$6,$Q191&lt;=Statement!$C$7),$U191,0),0))</f>
        <v/>
      </c>
      <c r="W191" s="23">
        <f>IF($F191=Statement!$C$3,$G191,0)+IF($H191=Statement!$C$3,IF($I191="",0,$I191),0)</f>
        <v/>
      </c>
      <c r="X191">
        <f>IF(NOT($S191),"",IF(ISNUMBER($Q191),IF(AND($Q191&gt;=Statement!$C$6,$Q191&lt;=Statement!$C$7),"Clawback: credit reversed",""),"")&amp;IF(AND($B191&gt;=Statement!$C$6,$B191&lt;=Statement!$C$7,N($L191)&lt;1),"Partial credit: "&amp;TEXT($L191,"0%"),""))</f>
        <v/>
      </c>
    </row>
    <row r="192">
      <c r="A192" s="19" t="n"/>
      <c r="B192" s="20" t="n"/>
      <c r="C192" s="19" t="n"/>
      <c r="D192" s="19" t="n"/>
      <c r="E192" s="21" t="n"/>
      <c r="F192" s="19" t="n"/>
      <c r="G192" s="22" t="n"/>
      <c r="H192" s="19" t="n"/>
      <c r="I192" s="22" t="n"/>
      <c r="J192" s="20" t="n"/>
      <c r="K192" s="19" t="n"/>
      <c r="L192" s="23">
        <f>IF($E192="","",IFERROR(VLOOKUP($D192,'Plan setup'!$A$17:$B$21,2,FALSE),0))</f>
        <v/>
      </c>
      <c r="M192" s="17">
        <f>IF($E192="","",$E192*$L192)</f>
        <v/>
      </c>
      <c r="N192" s="17">
        <f>IF(OR($E192="",$F192=""),0,$M192*$G192)</f>
        <v/>
      </c>
      <c r="O192" s="17">
        <f>IF(OR($E192="",$H192=""),0,$M192*$I192)</f>
        <v/>
      </c>
      <c r="P192">
        <f>IF($J192="","",IF($J192-$B192&lt;='Plan setup'!$B$5,"Reversed","Outside window"))</f>
        <v/>
      </c>
      <c r="Q192" s="24">
        <f>IF($P192="Reversed",$J192,"")</f>
        <v/>
      </c>
      <c r="R192">
        <f>IF($E192="","",IF(ABS($G192+IF($I192="",0,$I192)-1)&gt;0.0001,"Splits must total 100%",IF(COUNTIF('Plan setup'!$A$25:$A$34,$F192)=0,"Rep 1 not in Plan setup",IF(IF($H192="",FALSE,COUNTIF('Plan setup'!$A$25:$A$34,$H192)=0),"Rep 2 not in Plan setup",IF(COUNTIF('Plan setup'!$A$17:$A$21,$D192)=0,"Unknown deal type",IF($P192="Outside window","Clawback outside window: not reversed","OK"))))))</f>
        <v/>
      </c>
      <c r="S192">
        <f>AND(ISNUMBER($B192),OR($F192=Statement!$C$3,$H192=Statement!$C$3),OR(AND($B192&gt;=Statement!$C$6,$B192&lt;=Statement!$C$7),AND(ISNUMBER($Q192),$Q192&gt;=Statement!$C$6,$Q192&lt;=Statement!$C$7)))</f>
        <v/>
      </c>
      <c r="T192">
        <f>IF($S192,COUNTIF($S$2:$S192,TRUE),"")</f>
        <v/>
      </c>
      <c r="U192" s="17">
        <f>IF($F192=Statement!$C$3,$N192,0)+IF($H192=Statement!$C$3,$O192,0)</f>
        <v/>
      </c>
      <c r="V192" s="17">
        <f>IF(NOT($S192),0,IF(AND($B192&gt;=Statement!$C$6,$B192&lt;=Statement!$C$7),$U192,0)-IF(ISNUMBER($Q192),IF(AND($Q192&gt;=Statement!$C$6,$Q192&lt;=Statement!$C$7),$U192,0),0))</f>
        <v/>
      </c>
      <c r="W192" s="23">
        <f>IF($F192=Statement!$C$3,$G192,0)+IF($H192=Statement!$C$3,IF($I192="",0,$I192),0)</f>
        <v/>
      </c>
      <c r="X192">
        <f>IF(NOT($S192),"",IF(ISNUMBER($Q192),IF(AND($Q192&gt;=Statement!$C$6,$Q192&lt;=Statement!$C$7),"Clawback: credit reversed",""),"")&amp;IF(AND($B192&gt;=Statement!$C$6,$B192&lt;=Statement!$C$7,N($L192)&lt;1),"Partial credit: "&amp;TEXT($L192,"0%"),""))</f>
        <v/>
      </c>
    </row>
    <row r="193">
      <c r="A193" s="19" t="n"/>
      <c r="B193" s="20" t="n"/>
      <c r="C193" s="19" t="n"/>
      <c r="D193" s="19" t="n"/>
      <c r="E193" s="21" t="n"/>
      <c r="F193" s="19" t="n"/>
      <c r="G193" s="22" t="n"/>
      <c r="H193" s="19" t="n"/>
      <c r="I193" s="22" t="n"/>
      <c r="J193" s="20" t="n"/>
      <c r="K193" s="19" t="n"/>
      <c r="L193" s="23">
        <f>IF($E193="","",IFERROR(VLOOKUP($D193,'Plan setup'!$A$17:$B$21,2,FALSE),0))</f>
        <v/>
      </c>
      <c r="M193" s="17">
        <f>IF($E193="","",$E193*$L193)</f>
        <v/>
      </c>
      <c r="N193" s="17">
        <f>IF(OR($E193="",$F193=""),0,$M193*$G193)</f>
        <v/>
      </c>
      <c r="O193" s="17">
        <f>IF(OR($E193="",$H193=""),0,$M193*$I193)</f>
        <v/>
      </c>
      <c r="P193">
        <f>IF($J193="","",IF($J193-$B193&lt;='Plan setup'!$B$5,"Reversed","Outside window"))</f>
        <v/>
      </c>
      <c r="Q193" s="24">
        <f>IF($P193="Reversed",$J193,"")</f>
        <v/>
      </c>
      <c r="R193">
        <f>IF($E193="","",IF(ABS($G193+IF($I193="",0,$I193)-1)&gt;0.0001,"Splits must total 100%",IF(COUNTIF('Plan setup'!$A$25:$A$34,$F193)=0,"Rep 1 not in Plan setup",IF(IF($H193="",FALSE,COUNTIF('Plan setup'!$A$25:$A$34,$H193)=0),"Rep 2 not in Plan setup",IF(COUNTIF('Plan setup'!$A$17:$A$21,$D193)=0,"Unknown deal type",IF($P193="Outside window","Clawback outside window: not reversed","OK"))))))</f>
        <v/>
      </c>
      <c r="S193">
        <f>AND(ISNUMBER($B193),OR($F193=Statement!$C$3,$H193=Statement!$C$3),OR(AND($B193&gt;=Statement!$C$6,$B193&lt;=Statement!$C$7),AND(ISNUMBER($Q193),$Q193&gt;=Statement!$C$6,$Q193&lt;=Statement!$C$7)))</f>
        <v/>
      </c>
      <c r="T193">
        <f>IF($S193,COUNTIF($S$2:$S193,TRUE),"")</f>
        <v/>
      </c>
      <c r="U193" s="17">
        <f>IF($F193=Statement!$C$3,$N193,0)+IF($H193=Statement!$C$3,$O193,0)</f>
        <v/>
      </c>
      <c r="V193" s="17">
        <f>IF(NOT($S193),0,IF(AND($B193&gt;=Statement!$C$6,$B193&lt;=Statement!$C$7),$U193,0)-IF(ISNUMBER($Q193),IF(AND($Q193&gt;=Statement!$C$6,$Q193&lt;=Statement!$C$7),$U193,0),0))</f>
        <v/>
      </c>
      <c r="W193" s="23">
        <f>IF($F193=Statement!$C$3,$G193,0)+IF($H193=Statement!$C$3,IF($I193="",0,$I193),0)</f>
        <v/>
      </c>
      <c r="X193">
        <f>IF(NOT($S193),"",IF(ISNUMBER($Q193),IF(AND($Q193&gt;=Statement!$C$6,$Q193&lt;=Statement!$C$7),"Clawback: credit reversed",""),"")&amp;IF(AND($B193&gt;=Statement!$C$6,$B193&lt;=Statement!$C$7,N($L193)&lt;1),"Partial credit: "&amp;TEXT($L193,"0%"),""))</f>
        <v/>
      </c>
    </row>
    <row r="194">
      <c r="A194" s="19" t="n"/>
      <c r="B194" s="20" t="n"/>
      <c r="C194" s="19" t="n"/>
      <c r="D194" s="19" t="n"/>
      <c r="E194" s="21" t="n"/>
      <c r="F194" s="19" t="n"/>
      <c r="G194" s="22" t="n"/>
      <c r="H194" s="19" t="n"/>
      <c r="I194" s="22" t="n"/>
      <c r="J194" s="20" t="n"/>
      <c r="K194" s="19" t="n"/>
      <c r="L194" s="23">
        <f>IF($E194="","",IFERROR(VLOOKUP($D194,'Plan setup'!$A$17:$B$21,2,FALSE),0))</f>
        <v/>
      </c>
      <c r="M194" s="17">
        <f>IF($E194="","",$E194*$L194)</f>
        <v/>
      </c>
      <c r="N194" s="17">
        <f>IF(OR($E194="",$F194=""),0,$M194*$G194)</f>
        <v/>
      </c>
      <c r="O194" s="17">
        <f>IF(OR($E194="",$H194=""),0,$M194*$I194)</f>
        <v/>
      </c>
      <c r="P194">
        <f>IF($J194="","",IF($J194-$B194&lt;='Plan setup'!$B$5,"Reversed","Outside window"))</f>
        <v/>
      </c>
      <c r="Q194" s="24">
        <f>IF($P194="Reversed",$J194,"")</f>
        <v/>
      </c>
      <c r="R194">
        <f>IF($E194="","",IF(ABS($G194+IF($I194="",0,$I194)-1)&gt;0.0001,"Splits must total 100%",IF(COUNTIF('Plan setup'!$A$25:$A$34,$F194)=0,"Rep 1 not in Plan setup",IF(IF($H194="",FALSE,COUNTIF('Plan setup'!$A$25:$A$34,$H194)=0),"Rep 2 not in Plan setup",IF(COUNTIF('Plan setup'!$A$17:$A$21,$D194)=0,"Unknown deal type",IF($P194="Outside window","Clawback outside window: not reversed","OK"))))))</f>
        <v/>
      </c>
      <c r="S194">
        <f>AND(ISNUMBER($B194),OR($F194=Statement!$C$3,$H194=Statement!$C$3),OR(AND($B194&gt;=Statement!$C$6,$B194&lt;=Statement!$C$7),AND(ISNUMBER($Q194),$Q194&gt;=Statement!$C$6,$Q194&lt;=Statement!$C$7)))</f>
        <v/>
      </c>
      <c r="T194">
        <f>IF($S194,COUNTIF($S$2:$S194,TRUE),"")</f>
        <v/>
      </c>
      <c r="U194" s="17">
        <f>IF($F194=Statement!$C$3,$N194,0)+IF($H194=Statement!$C$3,$O194,0)</f>
        <v/>
      </c>
      <c r="V194" s="17">
        <f>IF(NOT($S194),0,IF(AND($B194&gt;=Statement!$C$6,$B194&lt;=Statement!$C$7),$U194,0)-IF(ISNUMBER($Q194),IF(AND($Q194&gt;=Statement!$C$6,$Q194&lt;=Statement!$C$7),$U194,0),0))</f>
        <v/>
      </c>
      <c r="W194" s="23">
        <f>IF($F194=Statement!$C$3,$G194,0)+IF($H194=Statement!$C$3,IF($I194="",0,$I194),0)</f>
        <v/>
      </c>
      <c r="X194">
        <f>IF(NOT($S194),"",IF(ISNUMBER($Q194),IF(AND($Q194&gt;=Statement!$C$6,$Q194&lt;=Statement!$C$7),"Clawback: credit reversed",""),"")&amp;IF(AND($B194&gt;=Statement!$C$6,$B194&lt;=Statement!$C$7,N($L194)&lt;1),"Partial credit: "&amp;TEXT($L194,"0%"),""))</f>
        <v/>
      </c>
    </row>
    <row r="195">
      <c r="A195" s="19" t="n"/>
      <c r="B195" s="20" t="n"/>
      <c r="C195" s="19" t="n"/>
      <c r="D195" s="19" t="n"/>
      <c r="E195" s="21" t="n"/>
      <c r="F195" s="19" t="n"/>
      <c r="G195" s="22" t="n"/>
      <c r="H195" s="19" t="n"/>
      <c r="I195" s="22" t="n"/>
      <c r="J195" s="20" t="n"/>
      <c r="K195" s="19" t="n"/>
      <c r="L195" s="23">
        <f>IF($E195="","",IFERROR(VLOOKUP($D195,'Plan setup'!$A$17:$B$21,2,FALSE),0))</f>
        <v/>
      </c>
      <c r="M195" s="17">
        <f>IF($E195="","",$E195*$L195)</f>
        <v/>
      </c>
      <c r="N195" s="17">
        <f>IF(OR($E195="",$F195=""),0,$M195*$G195)</f>
        <v/>
      </c>
      <c r="O195" s="17">
        <f>IF(OR($E195="",$H195=""),0,$M195*$I195)</f>
        <v/>
      </c>
      <c r="P195">
        <f>IF($J195="","",IF($J195-$B195&lt;='Plan setup'!$B$5,"Reversed","Outside window"))</f>
        <v/>
      </c>
      <c r="Q195" s="24">
        <f>IF($P195="Reversed",$J195,"")</f>
        <v/>
      </c>
      <c r="R195">
        <f>IF($E195="","",IF(ABS($G195+IF($I195="",0,$I195)-1)&gt;0.0001,"Splits must total 100%",IF(COUNTIF('Plan setup'!$A$25:$A$34,$F195)=0,"Rep 1 not in Plan setup",IF(IF($H195="",FALSE,COUNTIF('Plan setup'!$A$25:$A$34,$H195)=0),"Rep 2 not in Plan setup",IF(COUNTIF('Plan setup'!$A$17:$A$21,$D195)=0,"Unknown deal type",IF($P195="Outside window","Clawback outside window: not reversed","OK"))))))</f>
        <v/>
      </c>
      <c r="S195">
        <f>AND(ISNUMBER($B195),OR($F195=Statement!$C$3,$H195=Statement!$C$3),OR(AND($B195&gt;=Statement!$C$6,$B195&lt;=Statement!$C$7),AND(ISNUMBER($Q195),$Q195&gt;=Statement!$C$6,$Q195&lt;=Statement!$C$7)))</f>
        <v/>
      </c>
      <c r="T195">
        <f>IF($S195,COUNTIF($S$2:$S195,TRUE),"")</f>
        <v/>
      </c>
      <c r="U195" s="17">
        <f>IF($F195=Statement!$C$3,$N195,0)+IF($H195=Statement!$C$3,$O195,0)</f>
        <v/>
      </c>
      <c r="V195" s="17">
        <f>IF(NOT($S195),0,IF(AND($B195&gt;=Statement!$C$6,$B195&lt;=Statement!$C$7),$U195,0)-IF(ISNUMBER($Q195),IF(AND($Q195&gt;=Statement!$C$6,$Q195&lt;=Statement!$C$7),$U195,0),0))</f>
        <v/>
      </c>
      <c r="W195" s="23">
        <f>IF($F195=Statement!$C$3,$G195,0)+IF($H195=Statement!$C$3,IF($I195="",0,$I195),0)</f>
        <v/>
      </c>
      <c r="X195">
        <f>IF(NOT($S195),"",IF(ISNUMBER($Q195),IF(AND($Q195&gt;=Statement!$C$6,$Q195&lt;=Statement!$C$7),"Clawback: credit reversed",""),"")&amp;IF(AND($B195&gt;=Statement!$C$6,$B195&lt;=Statement!$C$7,N($L195)&lt;1),"Partial credit: "&amp;TEXT($L195,"0%"),""))</f>
        <v/>
      </c>
    </row>
    <row r="196">
      <c r="A196" s="19" t="n"/>
      <c r="B196" s="20" t="n"/>
      <c r="C196" s="19" t="n"/>
      <c r="D196" s="19" t="n"/>
      <c r="E196" s="21" t="n"/>
      <c r="F196" s="19" t="n"/>
      <c r="G196" s="22" t="n"/>
      <c r="H196" s="19" t="n"/>
      <c r="I196" s="22" t="n"/>
      <c r="J196" s="20" t="n"/>
      <c r="K196" s="19" t="n"/>
      <c r="L196" s="23">
        <f>IF($E196="","",IFERROR(VLOOKUP($D196,'Plan setup'!$A$17:$B$21,2,FALSE),0))</f>
        <v/>
      </c>
      <c r="M196" s="17">
        <f>IF($E196="","",$E196*$L196)</f>
        <v/>
      </c>
      <c r="N196" s="17">
        <f>IF(OR($E196="",$F196=""),0,$M196*$G196)</f>
        <v/>
      </c>
      <c r="O196" s="17">
        <f>IF(OR($E196="",$H196=""),0,$M196*$I196)</f>
        <v/>
      </c>
      <c r="P196">
        <f>IF($J196="","",IF($J196-$B196&lt;='Plan setup'!$B$5,"Reversed","Outside window"))</f>
        <v/>
      </c>
      <c r="Q196" s="24">
        <f>IF($P196="Reversed",$J196,"")</f>
        <v/>
      </c>
      <c r="R196">
        <f>IF($E196="","",IF(ABS($G196+IF($I196="",0,$I196)-1)&gt;0.0001,"Splits must total 100%",IF(COUNTIF('Plan setup'!$A$25:$A$34,$F196)=0,"Rep 1 not in Plan setup",IF(IF($H196="",FALSE,COUNTIF('Plan setup'!$A$25:$A$34,$H196)=0),"Rep 2 not in Plan setup",IF(COUNTIF('Plan setup'!$A$17:$A$21,$D196)=0,"Unknown deal type",IF($P196="Outside window","Clawback outside window: not reversed","OK"))))))</f>
        <v/>
      </c>
      <c r="S196">
        <f>AND(ISNUMBER($B196),OR($F196=Statement!$C$3,$H196=Statement!$C$3),OR(AND($B196&gt;=Statement!$C$6,$B196&lt;=Statement!$C$7),AND(ISNUMBER($Q196),$Q196&gt;=Statement!$C$6,$Q196&lt;=Statement!$C$7)))</f>
        <v/>
      </c>
      <c r="T196">
        <f>IF($S196,COUNTIF($S$2:$S196,TRUE),"")</f>
        <v/>
      </c>
      <c r="U196" s="17">
        <f>IF($F196=Statement!$C$3,$N196,0)+IF($H196=Statement!$C$3,$O196,0)</f>
        <v/>
      </c>
      <c r="V196" s="17">
        <f>IF(NOT($S196),0,IF(AND($B196&gt;=Statement!$C$6,$B196&lt;=Statement!$C$7),$U196,0)-IF(ISNUMBER($Q196),IF(AND($Q196&gt;=Statement!$C$6,$Q196&lt;=Statement!$C$7),$U196,0),0))</f>
        <v/>
      </c>
      <c r="W196" s="23">
        <f>IF($F196=Statement!$C$3,$G196,0)+IF($H196=Statement!$C$3,IF($I196="",0,$I196),0)</f>
        <v/>
      </c>
      <c r="X196">
        <f>IF(NOT($S196),"",IF(ISNUMBER($Q196),IF(AND($Q196&gt;=Statement!$C$6,$Q196&lt;=Statement!$C$7),"Clawback: credit reversed",""),"")&amp;IF(AND($B196&gt;=Statement!$C$6,$B196&lt;=Statement!$C$7,N($L196)&lt;1),"Partial credit: "&amp;TEXT($L196,"0%"),""))</f>
        <v/>
      </c>
    </row>
    <row r="197">
      <c r="A197" s="19" t="n"/>
      <c r="B197" s="20" t="n"/>
      <c r="C197" s="19" t="n"/>
      <c r="D197" s="19" t="n"/>
      <c r="E197" s="21" t="n"/>
      <c r="F197" s="19" t="n"/>
      <c r="G197" s="22" t="n"/>
      <c r="H197" s="19" t="n"/>
      <c r="I197" s="22" t="n"/>
      <c r="J197" s="20" t="n"/>
      <c r="K197" s="19" t="n"/>
      <c r="L197" s="23">
        <f>IF($E197="","",IFERROR(VLOOKUP($D197,'Plan setup'!$A$17:$B$21,2,FALSE),0))</f>
        <v/>
      </c>
      <c r="M197" s="17">
        <f>IF($E197="","",$E197*$L197)</f>
        <v/>
      </c>
      <c r="N197" s="17">
        <f>IF(OR($E197="",$F197=""),0,$M197*$G197)</f>
        <v/>
      </c>
      <c r="O197" s="17">
        <f>IF(OR($E197="",$H197=""),0,$M197*$I197)</f>
        <v/>
      </c>
      <c r="P197">
        <f>IF($J197="","",IF($J197-$B197&lt;='Plan setup'!$B$5,"Reversed","Outside window"))</f>
        <v/>
      </c>
      <c r="Q197" s="24">
        <f>IF($P197="Reversed",$J197,"")</f>
        <v/>
      </c>
      <c r="R197">
        <f>IF($E197="","",IF(ABS($G197+IF($I197="",0,$I197)-1)&gt;0.0001,"Splits must total 100%",IF(COUNTIF('Plan setup'!$A$25:$A$34,$F197)=0,"Rep 1 not in Plan setup",IF(IF($H197="",FALSE,COUNTIF('Plan setup'!$A$25:$A$34,$H197)=0),"Rep 2 not in Plan setup",IF(COUNTIF('Plan setup'!$A$17:$A$21,$D197)=0,"Unknown deal type",IF($P197="Outside window","Clawback outside window: not reversed","OK"))))))</f>
        <v/>
      </c>
      <c r="S197">
        <f>AND(ISNUMBER($B197),OR($F197=Statement!$C$3,$H197=Statement!$C$3),OR(AND($B197&gt;=Statement!$C$6,$B197&lt;=Statement!$C$7),AND(ISNUMBER($Q197),$Q197&gt;=Statement!$C$6,$Q197&lt;=Statement!$C$7)))</f>
        <v/>
      </c>
      <c r="T197">
        <f>IF($S197,COUNTIF($S$2:$S197,TRUE),"")</f>
        <v/>
      </c>
      <c r="U197" s="17">
        <f>IF($F197=Statement!$C$3,$N197,0)+IF($H197=Statement!$C$3,$O197,0)</f>
        <v/>
      </c>
      <c r="V197" s="17">
        <f>IF(NOT($S197),0,IF(AND($B197&gt;=Statement!$C$6,$B197&lt;=Statement!$C$7),$U197,0)-IF(ISNUMBER($Q197),IF(AND($Q197&gt;=Statement!$C$6,$Q197&lt;=Statement!$C$7),$U197,0),0))</f>
        <v/>
      </c>
      <c r="W197" s="23">
        <f>IF($F197=Statement!$C$3,$G197,0)+IF($H197=Statement!$C$3,IF($I197="",0,$I197),0)</f>
        <v/>
      </c>
      <c r="X197">
        <f>IF(NOT($S197),"",IF(ISNUMBER($Q197),IF(AND($Q197&gt;=Statement!$C$6,$Q197&lt;=Statement!$C$7),"Clawback: credit reversed",""),"")&amp;IF(AND($B197&gt;=Statement!$C$6,$B197&lt;=Statement!$C$7,N($L197)&lt;1),"Partial credit: "&amp;TEXT($L197,"0%"),""))</f>
        <v/>
      </c>
    </row>
    <row r="198">
      <c r="A198" s="19" t="n"/>
      <c r="B198" s="20" t="n"/>
      <c r="C198" s="19" t="n"/>
      <c r="D198" s="19" t="n"/>
      <c r="E198" s="21" t="n"/>
      <c r="F198" s="19" t="n"/>
      <c r="G198" s="22" t="n"/>
      <c r="H198" s="19" t="n"/>
      <c r="I198" s="22" t="n"/>
      <c r="J198" s="20" t="n"/>
      <c r="K198" s="19" t="n"/>
      <c r="L198" s="23">
        <f>IF($E198="","",IFERROR(VLOOKUP($D198,'Plan setup'!$A$17:$B$21,2,FALSE),0))</f>
        <v/>
      </c>
      <c r="M198" s="17">
        <f>IF($E198="","",$E198*$L198)</f>
        <v/>
      </c>
      <c r="N198" s="17">
        <f>IF(OR($E198="",$F198=""),0,$M198*$G198)</f>
        <v/>
      </c>
      <c r="O198" s="17">
        <f>IF(OR($E198="",$H198=""),0,$M198*$I198)</f>
        <v/>
      </c>
      <c r="P198">
        <f>IF($J198="","",IF($J198-$B198&lt;='Plan setup'!$B$5,"Reversed","Outside window"))</f>
        <v/>
      </c>
      <c r="Q198" s="24">
        <f>IF($P198="Reversed",$J198,"")</f>
        <v/>
      </c>
      <c r="R198">
        <f>IF($E198="","",IF(ABS($G198+IF($I198="",0,$I198)-1)&gt;0.0001,"Splits must total 100%",IF(COUNTIF('Plan setup'!$A$25:$A$34,$F198)=0,"Rep 1 not in Plan setup",IF(IF($H198="",FALSE,COUNTIF('Plan setup'!$A$25:$A$34,$H198)=0),"Rep 2 not in Plan setup",IF(COUNTIF('Plan setup'!$A$17:$A$21,$D198)=0,"Unknown deal type",IF($P198="Outside window","Clawback outside window: not reversed","OK"))))))</f>
        <v/>
      </c>
      <c r="S198">
        <f>AND(ISNUMBER($B198),OR($F198=Statement!$C$3,$H198=Statement!$C$3),OR(AND($B198&gt;=Statement!$C$6,$B198&lt;=Statement!$C$7),AND(ISNUMBER($Q198),$Q198&gt;=Statement!$C$6,$Q198&lt;=Statement!$C$7)))</f>
        <v/>
      </c>
      <c r="T198">
        <f>IF($S198,COUNTIF($S$2:$S198,TRUE),"")</f>
        <v/>
      </c>
      <c r="U198" s="17">
        <f>IF($F198=Statement!$C$3,$N198,0)+IF($H198=Statement!$C$3,$O198,0)</f>
        <v/>
      </c>
      <c r="V198" s="17">
        <f>IF(NOT($S198),0,IF(AND($B198&gt;=Statement!$C$6,$B198&lt;=Statement!$C$7),$U198,0)-IF(ISNUMBER($Q198),IF(AND($Q198&gt;=Statement!$C$6,$Q198&lt;=Statement!$C$7),$U198,0),0))</f>
        <v/>
      </c>
      <c r="W198" s="23">
        <f>IF($F198=Statement!$C$3,$G198,0)+IF($H198=Statement!$C$3,IF($I198="",0,$I198),0)</f>
        <v/>
      </c>
      <c r="X198">
        <f>IF(NOT($S198),"",IF(ISNUMBER($Q198),IF(AND($Q198&gt;=Statement!$C$6,$Q198&lt;=Statement!$C$7),"Clawback: credit reversed",""),"")&amp;IF(AND($B198&gt;=Statement!$C$6,$B198&lt;=Statement!$C$7,N($L198)&lt;1),"Partial credit: "&amp;TEXT($L198,"0%"),""))</f>
        <v/>
      </c>
    </row>
    <row r="199">
      <c r="A199" s="19" t="n"/>
      <c r="B199" s="20" t="n"/>
      <c r="C199" s="19" t="n"/>
      <c r="D199" s="19" t="n"/>
      <c r="E199" s="21" t="n"/>
      <c r="F199" s="19" t="n"/>
      <c r="G199" s="22" t="n"/>
      <c r="H199" s="19" t="n"/>
      <c r="I199" s="22" t="n"/>
      <c r="J199" s="20" t="n"/>
      <c r="K199" s="19" t="n"/>
      <c r="L199" s="23">
        <f>IF($E199="","",IFERROR(VLOOKUP($D199,'Plan setup'!$A$17:$B$21,2,FALSE),0))</f>
        <v/>
      </c>
      <c r="M199" s="17">
        <f>IF($E199="","",$E199*$L199)</f>
        <v/>
      </c>
      <c r="N199" s="17">
        <f>IF(OR($E199="",$F199=""),0,$M199*$G199)</f>
        <v/>
      </c>
      <c r="O199" s="17">
        <f>IF(OR($E199="",$H199=""),0,$M199*$I199)</f>
        <v/>
      </c>
      <c r="P199">
        <f>IF($J199="","",IF($J199-$B199&lt;='Plan setup'!$B$5,"Reversed","Outside window"))</f>
        <v/>
      </c>
      <c r="Q199" s="24">
        <f>IF($P199="Reversed",$J199,"")</f>
        <v/>
      </c>
      <c r="R199">
        <f>IF($E199="","",IF(ABS($G199+IF($I199="",0,$I199)-1)&gt;0.0001,"Splits must total 100%",IF(COUNTIF('Plan setup'!$A$25:$A$34,$F199)=0,"Rep 1 not in Plan setup",IF(IF($H199="",FALSE,COUNTIF('Plan setup'!$A$25:$A$34,$H199)=0),"Rep 2 not in Plan setup",IF(COUNTIF('Plan setup'!$A$17:$A$21,$D199)=0,"Unknown deal type",IF($P199="Outside window","Clawback outside window: not reversed","OK"))))))</f>
        <v/>
      </c>
      <c r="S199">
        <f>AND(ISNUMBER($B199),OR($F199=Statement!$C$3,$H199=Statement!$C$3),OR(AND($B199&gt;=Statement!$C$6,$B199&lt;=Statement!$C$7),AND(ISNUMBER($Q199),$Q199&gt;=Statement!$C$6,$Q199&lt;=Statement!$C$7)))</f>
        <v/>
      </c>
      <c r="T199">
        <f>IF($S199,COUNTIF($S$2:$S199,TRUE),"")</f>
        <v/>
      </c>
      <c r="U199" s="17">
        <f>IF($F199=Statement!$C$3,$N199,0)+IF($H199=Statement!$C$3,$O199,0)</f>
        <v/>
      </c>
      <c r="V199" s="17">
        <f>IF(NOT($S199),0,IF(AND($B199&gt;=Statement!$C$6,$B199&lt;=Statement!$C$7),$U199,0)-IF(ISNUMBER($Q199),IF(AND($Q199&gt;=Statement!$C$6,$Q199&lt;=Statement!$C$7),$U199,0),0))</f>
        <v/>
      </c>
      <c r="W199" s="23">
        <f>IF($F199=Statement!$C$3,$G199,0)+IF($H199=Statement!$C$3,IF($I199="",0,$I199),0)</f>
        <v/>
      </c>
      <c r="X199">
        <f>IF(NOT($S199),"",IF(ISNUMBER($Q199),IF(AND($Q199&gt;=Statement!$C$6,$Q199&lt;=Statement!$C$7),"Clawback: credit reversed",""),"")&amp;IF(AND($B199&gt;=Statement!$C$6,$B199&lt;=Statement!$C$7,N($L199)&lt;1),"Partial credit: "&amp;TEXT($L199,"0%"),""))</f>
        <v/>
      </c>
    </row>
    <row r="200">
      <c r="A200" s="19" t="n"/>
      <c r="B200" s="20" t="n"/>
      <c r="C200" s="19" t="n"/>
      <c r="D200" s="19" t="n"/>
      <c r="E200" s="21" t="n"/>
      <c r="F200" s="19" t="n"/>
      <c r="G200" s="22" t="n"/>
      <c r="H200" s="19" t="n"/>
      <c r="I200" s="22" t="n"/>
      <c r="J200" s="20" t="n"/>
      <c r="K200" s="19" t="n"/>
      <c r="L200" s="23">
        <f>IF($E200="","",IFERROR(VLOOKUP($D200,'Plan setup'!$A$17:$B$21,2,FALSE),0))</f>
        <v/>
      </c>
      <c r="M200" s="17">
        <f>IF($E200="","",$E200*$L200)</f>
        <v/>
      </c>
      <c r="N200" s="17">
        <f>IF(OR($E200="",$F200=""),0,$M200*$G200)</f>
        <v/>
      </c>
      <c r="O200" s="17">
        <f>IF(OR($E200="",$H200=""),0,$M200*$I200)</f>
        <v/>
      </c>
      <c r="P200">
        <f>IF($J200="","",IF($J200-$B200&lt;='Plan setup'!$B$5,"Reversed","Outside window"))</f>
        <v/>
      </c>
      <c r="Q200" s="24">
        <f>IF($P200="Reversed",$J200,"")</f>
        <v/>
      </c>
      <c r="R200">
        <f>IF($E200="","",IF(ABS($G200+IF($I200="",0,$I200)-1)&gt;0.0001,"Splits must total 100%",IF(COUNTIF('Plan setup'!$A$25:$A$34,$F200)=0,"Rep 1 not in Plan setup",IF(IF($H200="",FALSE,COUNTIF('Plan setup'!$A$25:$A$34,$H200)=0),"Rep 2 not in Plan setup",IF(COUNTIF('Plan setup'!$A$17:$A$21,$D200)=0,"Unknown deal type",IF($P200="Outside window","Clawback outside window: not reversed","OK"))))))</f>
        <v/>
      </c>
      <c r="S200">
        <f>AND(ISNUMBER($B200),OR($F200=Statement!$C$3,$H200=Statement!$C$3),OR(AND($B200&gt;=Statement!$C$6,$B200&lt;=Statement!$C$7),AND(ISNUMBER($Q200),$Q200&gt;=Statement!$C$6,$Q200&lt;=Statement!$C$7)))</f>
        <v/>
      </c>
      <c r="T200">
        <f>IF($S200,COUNTIF($S$2:$S200,TRUE),"")</f>
        <v/>
      </c>
      <c r="U200" s="17">
        <f>IF($F200=Statement!$C$3,$N200,0)+IF($H200=Statement!$C$3,$O200,0)</f>
        <v/>
      </c>
      <c r="V200" s="17">
        <f>IF(NOT($S200),0,IF(AND($B200&gt;=Statement!$C$6,$B200&lt;=Statement!$C$7),$U200,0)-IF(ISNUMBER($Q200),IF(AND($Q200&gt;=Statement!$C$6,$Q200&lt;=Statement!$C$7),$U200,0),0))</f>
        <v/>
      </c>
      <c r="W200" s="23">
        <f>IF($F200=Statement!$C$3,$G200,0)+IF($H200=Statement!$C$3,IF($I200="",0,$I200),0)</f>
        <v/>
      </c>
      <c r="X200">
        <f>IF(NOT($S200),"",IF(ISNUMBER($Q200),IF(AND($Q200&gt;=Statement!$C$6,$Q200&lt;=Statement!$C$7),"Clawback: credit reversed",""),"")&amp;IF(AND($B200&gt;=Statement!$C$6,$B200&lt;=Statement!$C$7,N($L200)&lt;1),"Partial credit: "&amp;TEXT($L200,"0%"),""))</f>
        <v/>
      </c>
    </row>
    <row r="201">
      <c r="A201" s="19" t="n"/>
      <c r="B201" s="20" t="n"/>
      <c r="C201" s="19" t="n"/>
      <c r="D201" s="19" t="n"/>
      <c r="E201" s="21" t="n"/>
      <c r="F201" s="19" t="n"/>
      <c r="G201" s="22" t="n"/>
      <c r="H201" s="19" t="n"/>
      <c r="I201" s="22" t="n"/>
      <c r="J201" s="20" t="n"/>
      <c r="K201" s="19" t="n"/>
      <c r="L201" s="23">
        <f>IF($E201="","",IFERROR(VLOOKUP($D201,'Plan setup'!$A$17:$B$21,2,FALSE),0))</f>
        <v/>
      </c>
      <c r="M201" s="17">
        <f>IF($E201="","",$E201*$L201)</f>
        <v/>
      </c>
      <c r="N201" s="17">
        <f>IF(OR($E201="",$F201=""),0,$M201*$G201)</f>
        <v/>
      </c>
      <c r="O201" s="17">
        <f>IF(OR($E201="",$H201=""),0,$M201*$I201)</f>
        <v/>
      </c>
      <c r="P201">
        <f>IF($J201="","",IF($J201-$B201&lt;='Plan setup'!$B$5,"Reversed","Outside window"))</f>
        <v/>
      </c>
      <c r="Q201" s="24">
        <f>IF($P201="Reversed",$J201,"")</f>
        <v/>
      </c>
      <c r="R201">
        <f>IF($E201="","",IF(ABS($G201+IF($I201="",0,$I201)-1)&gt;0.0001,"Splits must total 100%",IF(COUNTIF('Plan setup'!$A$25:$A$34,$F201)=0,"Rep 1 not in Plan setup",IF(IF($H201="",FALSE,COUNTIF('Plan setup'!$A$25:$A$34,$H201)=0),"Rep 2 not in Plan setup",IF(COUNTIF('Plan setup'!$A$17:$A$21,$D201)=0,"Unknown deal type",IF($P201="Outside window","Clawback outside window: not reversed","OK"))))))</f>
        <v/>
      </c>
      <c r="S201">
        <f>AND(ISNUMBER($B201),OR($F201=Statement!$C$3,$H201=Statement!$C$3),OR(AND($B201&gt;=Statement!$C$6,$B201&lt;=Statement!$C$7),AND(ISNUMBER($Q201),$Q201&gt;=Statement!$C$6,$Q201&lt;=Statement!$C$7)))</f>
        <v/>
      </c>
      <c r="T201">
        <f>IF($S201,COUNTIF($S$2:$S201,TRUE),"")</f>
        <v/>
      </c>
      <c r="U201" s="17">
        <f>IF($F201=Statement!$C$3,$N201,0)+IF($H201=Statement!$C$3,$O201,0)</f>
        <v/>
      </c>
      <c r="V201" s="17">
        <f>IF(NOT($S201),0,IF(AND($B201&gt;=Statement!$C$6,$B201&lt;=Statement!$C$7),$U201,0)-IF(ISNUMBER($Q201),IF(AND($Q201&gt;=Statement!$C$6,$Q201&lt;=Statement!$C$7),$U201,0),0))</f>
        <v/>
      </c>
      <c r="W201" s="23">
        <f>IF($F201=Statement!$C$3,$G201,0)+IF($H201=Statement!$C$3,IF($I201="",0,$I201),0)</f>
        <v/>
      </c>
      <c r="X201">
        <f>IF(NOT($S201),"",IF(ISNUMBER($Q201),IF(AND($Q201&gt;=Statement!$C$6,$Q201&lt;=Statement!$C$7),"Clawback: credit reversed",""),"")&amp;IF(AND($B201&gt;=Statement!$C$6,$B201&lt;=Statement!$C$7,N($L201)&lt;1),"Partial credit: "&amp;TEXT($L201,"0%"),""))</f>
        <v/>
      </c>
    </row>
    <row r="202">
      <c r="A202" s="19" t="n"/>
      <c r="B202" s="20" t="n"/>
      <c r="C202" s="19" t="n"/>
      <c r="D202" s="19" t="n"/>
      <c r="E202" s="21" t="n"/>
      <c r="F202" s="19" t="n"/>
      <c r="G202" s="22" t="n"/>
      <c r="H202" s="19" t="n"/>
      <c r="I202" s="22" t="n"/>
      <c r="J202" s="20" t="n"/>
      <c r="K202" s="19" t="n"/>
      <c r="L202" s="23">
        <f>IF($E202="","",IFERROR(VLOOKUP($D202,'Plan setup'!$A$17:$B$21,2,FALSE),0))</f>
        <v/>
      </c>
      <c r="M202" s="17">
        <f>IF($E202="","",$E202*$L202)</f>
        <v/>
      </c>
      <c r="N202" s="17">
        <f>IF(OR($E202="",$F202=""),0,$M202*$G202)</f>
        <v/>
      </c>
      <c r="O202" s="17">
        <f>IF(OR($E202="",$H202=""),0,$M202*$I202)</f>
        <v/>
      </c>
      <c r="P202">
        <f>IF($J202="","",IF($J202-$B202&lt;='Plan setup'!$B$5,"Reversed","Outside window"))</f>
        <v/>
      </c>
      <c r="Q202" s="24">
        <f>IF($P202="Reversed",$J202,"")</f>
        <v/>
      </c>
      <c r="R202">
        <f>IF($E202="","",IF(ABS($G202+IF($I202="",0,$I202)-1)&gt;0.0001,"Splits must total 100%",IF(COUNTIF('Plan setup'!$A$25:$A$34,$F202)=0,"Rep 1 not in Plan setup",IF(IF($H202="",FALSE,COUNTIF('Plan setup'!$A$25:$A$34,$H202)=0),"Rep 2 not in Plan setup",IF(COUNTIF('Plan setup'!$A$17:$A$21,$D202)=0,"Unknown deal type",IF($P202="Outside window","Clawback outside window: not reversed","OK"))))))</f>
        <v/>
      </c>
      <c r="S202">
        <f>AND(ISNUMBER($B202),OR($F202=Statement!$C$3,$H202=Statement!$C$3),OR(AND($B202&gt;=Statement!$C$6,$B202&lt;=Statement!$C$7),AND(ISNUMBER($Q202),$Q202&gt;=Statement!$C$6,$Q202&lt;=Statement!$C$7)))</f>
        <v/>
      </c>
      <c r="T202">
        <f>IF($S202,COUNTIF($S$2:$S202,TRUE),"")</f>
        <v/>
      </c>
      <c r="U202" s="17">
        <f>IF($F202=Statement!$C$3,$N202,0)+IF($H202=Statement!$C$3,$O202,0)</f>
        <v/>
      </c>
      <c r="V202" s="17">
        <f>IF(NOT($S202),0,IF(AND($B202&gt;=Statement!$C$6,$B202&lt;=Statement!$C$7),$U202,0)-IF(ISNUMBER($Q202),IF(AND($Q202&gt;=Statement!$C$6,$Q202&lt;=Statement!$C$7),$U202,0),0))</f>
        <v/>
      </c>
      <c r="W202" s="23">
        <f>IF($F202=Statement!$C$3,$G202,0)+IF($H202=Statement!$C$3,IF($I202="",0,$I202),0)</f>
        <v/>
      </c>
      <c r="X202">
        <f>IF(NOT($S202),"",IF(ISNUMBER($Q202),IF(AND($Q202&gt;=Statement!$C$6,$Q202&lt;=Statement!$C$7),"Clawback: credit reversed",""),"")&amp;IF(AND($B202&gt;=Statement!$C$6,$B202&lt;=Statement!$C$7,N($L202)&lt;1),"Partial credit: "&amp;TEXT($L202,"0%"),""))</f>
        <v/>
      </c>
    </row>
    <row r="203">
      <c r="A203" s="19" t="n"/>
      <c r="B203" s="20" t="n"/>
      <c r="C203" s="19" t="n"/>
      <c r="D203" s="19" t="n"/>
      <c r="E203" s="21" t="n"/>
      <c r="F203" s="19" t="n"/>
      <c r="G203" s="22" t="n"/>
      <c r="H203" s="19" t="n"/>
      <c r="I203" s="22" t="n"/>
      <c r="J203" s="20" t="n"/>
      <c r="K203" s="19" t="n"/>
      <c r="L203" s="23">
        <f>IF($E203="","",IFERROR(VLOOKUP($D203,'Plan setup'!$A$17:$B$21,2,FALSE),0))</f>
        <v/>
      </c>
      <c r="M203" s="17">
        <f>IF($E203="","",$E203*$L203)</f>
        <v/>
      </c>
      <c r="N203" s="17">
        <f>IF(OR($E203="",$F203=""),0,$M203*$G203)</f>
        <v/>
      </c>
      <c r="O203" s="17">
        <f>IF(OR($E203="",$H203=""),0,$M203*$I203)</f>
        <v/>
      </c>
      <c r="P203">
        <f>IF($J203="","",IF($J203-$B203&lt;='Plan setup'!$B$5,"Reversed","Outside window"))</f>
        <v/>
      </c>
      <c r="Q203" s="24">
        <f>IF($P203="Reversed",$J203,"")</f>
        <v/>
      </c>
      <c r="R203">
        <f>IF($E203="","",IF(ABS($G203+IF($I203="",0,$I203)-1)&gt;0.0001,"Splits must total 100%",IF(COUNTIF('Plan setup'!$A$25:$A$34,$F203)=0,"Rep 1 not in Plan setup",IF(IF($H203="",FALSE,COUNTIF('Plan setup'!$A$25:$A$34,$H203)=0),"Rep 2 not in Plan setup",IF(COUNTIF('Plan setup'!$A$17:$A$21,$D203)=0,"Unknown deal type",IF($P203="Outside window","Clawback outside window: not reversed","OK"))))))</f>
        <v/>
      </c>
      <c r="S203">
        <f>AND(ISNUMBER($B203),OR($F203=Statement!$C$3,$H203=Statement!$C$3),OR(AND($B203&gt;=Statement!$C$6,$B203&lt;=Statement!$C$7),AND(ISNUMBER($Q203),$Q203&gt;=Statement!$C$6,$Q203&lt;=Statement!$C$7)))</f>
        <v/>
      </c>
      <c r="T203">
        <f>IF($S203,COUNTIF($S$2:$S203,TRUE),"")</f>
        <v/>
      </c>
      <c r="U203" s="17">
        <f>IF($F203=Statement!$C$3,$N203,0)+IF($H203=Statement!$C$3,$O203,0)</f>
        <v/>
      </c>
      <c r="V203" s="17">
        <f>IF(NOT($S203),0,IF(AND($B203&gt;=Statement!$C$6,$B203&lt;=Statement!$C$7),$U203,0)-IF(ISNUMBER($Q203),IF(AND($Q203&gt;=Statement!$C$6,$Q203&lt;=Statement!$C$7),$U203,0),0))</f>
        <v/>
      </c>
      <c r="W203" s="23">
        <f>IF($F203=Statement!$C$3,$G203,0)+IF($H203=Statement!$C$3,IF($I203="",0,$I203),0)</f>
        <v/>
      </c>
      <c r="X203">
        <f>IF(NOT($S203),"",IF(ISNUMBER($Q203),IF(AND($Q203&gt;=Statement!$C$6,$Q203&lt;=Statement!$C$7),"Clawback: credit reversed",""),"")&amp;IF(AND($B203&gt;=Statement!$C$6,$B203&lt;=Statement!$C$7,N($L203)&lt;1),"Partial credit: "&amp;TEXT($L203,"0%"),""))</f>
        <v/>
      </c>
    </row>
    <row r="204">
      <c r="A204" s="19" t="n"/>
      <c r="B204" s="20" t="n"/>
      <c r="C204" s="19" t="n"/>
      <c r="D204" s="19" t="n"/>
      <c r="E204" s="21" t="n"/>
      <c r="F204" s="19" t="n"/>
      <c r="G204" s="22" t="n"/>
      <c r="H204" s="19" t="n"/>
      <c r="I204" s="22" t="n"/>
      <c r="J204" s="20" t="n"/>
      <c r="K204" s="19" t="n"/>
      <c r="L204" s="23">
        <f>IF($E204="","",IFERROR(VLOOKUP($D204,'Plan setup'!$A$17:$B$21,2,FALSE),0))</f>
        <v/>
      </c>
      <c r="M204" s="17">
        <f>IF($E204="","",$E204*$L204)</f>
        <v/>
      </c>
      <c r="N204" s="17">
        <f>IF(OR($E204="",$F204=""),0,$M204*$G204)</f>
        <v/>
      </c>
      <c r="O204" s="17">
        <f>IF(OR($E204="",$H204=""),0,$M204*$I204)</f>
        <v/>
      </c>
      <c r="P204">
        <f>IF($J204="","",IF($J204-$B204&lt;='Plan setup'!$B$5,"Reversed","Outside window"))</f>
        <v/>
      </c>
      <c r="Q204" s="24">
        <f>IF($P204="Reversed",$J204,"")</f>
        <v/>
      </c>
      <c r="R204">
        <f>IF($E204="","",IF(ABS($G204+IF($I204="",0,$I204)-1)&gt;0.0001,"Splits must total 100%",IF(COUNTIF('Plan setup'!$A$25:$A$34,$F204)=0,"Rep 1 not in Plan setup",IF(IF($H204="",FALSE,COUNTIF('Plan setup'!$A$25:$A$34,$H204)=0),"Rep 2 not in Plan setup",IF(COUNTIF('Plan setup'!$A$17:$A$21,$D204)=0,"Unknown deal type",IF($P204="Outside window","Clawback outside window: not reversed","OK"))))))</f>
        <v/>
      </c>
      <c r="S204">
        <f>AND(ISNUMBER($B204),OR($F204=Statement!$C$3,$H204=Statement!$C$3),OR(AND($B204&gt;=Statement!$C$6,$B204&lt;=Statement!$C$7),AND(ISNUMBER($Q204),$Q204&gt;=Statement!$C$6,$Q204&lt;=Statement!$C$7)))</f>
        <v/>
      </c>
      <c r="T204">
        <f>IF($S204,COUNTIF($S$2:$S204,TRUE),"")</f>
        <v/>
      </c>
      <c r="U204" s="17">
        <f>IF($F204=Statement!$C$3,$N204,0)+IF($H204=Statement!$C$3,$O204,0)</f>
        <v/>
      </c>
      <c r="V204" s="17">
        <f>IF(NOT($S204),0,IF(AND($B204&gt;=Statement!$C$6,$B204&lt;=Statement!$C$7),$U204,0)-IF(ISNUMBER($Q204),IF(AND($Q204&gt;=Statement!$C$6,$Q204&lt;=Statement!$C$7),$U204,0),0))</f>
        <v/>
      </c>
      <c r="W204" s="23">
        <f>IF($F204=Statement!$C$3,$G204,0)+IF($H204=Statement!$C$3,IF($I204="",0,$I204),0)</f>
        <v/>
      </c>
      <c r="X204">
        <f>IF(NOT($S204),"",IF(ISNUMBER($Q204),IF(AND($Q204&gt;=Statement!$C$6,$Q204&lt;=Statement!$C$7),"Clawback: credit reversed",""),"")&amp;IF(AND($B204&gt;=Statement!$C$6,$B204&lt;=Statement!$C$7,N($L204)&lt;1),"Partial credit: "&amp;TEXT($L204,"0%"),""))</f>
        <v/>
      </c>
    </row>
    <row r="205">
      <c r="A205" s="19" t="n"/>
      <c r="B205" s="20" t="n"/>
      <c r="C205" s="19" t="n"/>
      <c r="D205" s="19" t="n"/>
      <c r="E205" s="21" t="n"/>
      <c r="F205" s="19" t="n"/>
      <c r="G205" s="22" t="n"/>
      <c r="H205" s="19" t="n"/>
      <c r="I205" s="22" t="n"/>
      <c r="J205" s="20" t="n"/>
      <c r="K205" s="19" t="n"/>
      <c r="L205" s="23">
        <f>IF($E205="","",IFERROR(VLOOKUP($D205,'Plan setup'!$A$17:$B$21,2,FALSE),0))</f>
        <v/>
      </c>
      <c r="M205" s="17">
        <f>IF($E205="","",$E205*$L205)</f>
        <v/>
      </c>
      <c r="N205" s="17">
        <f>IF(OR($E205="",$F205=""),0,$M205*$G205)</f>
        <v/>
      </c>
      <c r="O205" s="17">
        <f>IF(OR($E205="",$H205=""),0,$M205*$I205)</f>
        <v/>
      </c>
      <c r="P205">
        <f>IF($J205="","",IF($J205-$B205&lt;='Plan setup'!$B$5,"Reversed","Outside window"))</f>
        <v/>
      </c>
      <c r="Q205" s="24">
        <f>IF($P205="Reversed",$J205,"")</f>
        <v/>
      </c>
      <c r="R205">
        <f>IF($E205="","",IF(ABS($G205+IF($I205="",0,$I205)-1)&gt;0.0001,"Splits must total 100%",IF(COUNTIF('Plan setup'!$A$25:$A$34,$F205)=0,"Rep 1 not in Plan setup",IF(IF($H205="",FALSE,COUNTIF('Plan setup'!$A$25:$A$34,$H205)=0),"Rep 2 not in Plan setup",IF(COUNTIF('Plan setup'!$A$17:$A$21,$D205)=0,"Unknown deal type",IF($P205="Outside window","Clawback outside window: not reversed","OK"))))))</f>
        <v/>
      </c>
      <c r="S205">
        <f>AND(ISNUMBER($B205),OR($F205=Statement!$C$3,$H205=Statement!$C$3),OR(AND($B205&gt;=Statement!$C$6,$B205&lt;=Statement!$C$7),AND(ISNUMBER($Q205),$Q205&gt;=Statement!$C$6,$Q205&lt;=Statement!$C$7)))</f>
        <v/>
      </c>
      <c r="T205">
        <f>IF($S205,COUNTIF($S$2:$S205,TRUE),"")</f>
        <v/>
      </c>
      <c r="U205" s="17">
        <f>IF($F205=Statement!$C$3,$N205,0)+IF($H205=Statement!$C$3,$O205,0)</f>
        <v/>
      </c>
      <c r="V205" s="17">
        <f>IF(NOT($S205),0,IF(AND($B205&gt;=Statement!$C$6,$B205&lt;=Statement!$C$7),$U205,0)-IF(ISNUMBER($Q205),IF(AND($Q205&gt;=Statement!$C$6,$Q205&lt;=Statement!$C$7),$U205,0),0))</f>
        <v/>
      </c>
      <c r="W205" s="23">
        <f>IF($F205=Statement!$C$3,$G205,0)+IF($H205=Statement!$C$3,IF($I205="",0,$I205),0)</f>
        <v/>
      </c>
      <c r="X205">
        <f>IF(NOT($S205),"",IF(ISNUMBER($Q205),IF(AND($Q205&gt;=Statement!$C$6,$Q205&lt;=Statement!$C$7),"Clawback: credit reversed",""),"")&amp;IF(AND($B205&gt;=Statement!$C$6,$B205&lt;=Statement!$C$7,N($L205)&lt;1),"Partial credit: "&amp;TEXT($L205,"0%"),""))</f>
        <v/>
      </c>
    </row>
    <row r="206">
      <c r="A206" s="19" t="n"/>
      <c r="B206" s="20" t="n"/>
      <c r="C206" s="19" t="n"/>
      <c r="D206" s="19" t="n"/>
      <c r="E206" s="21" t="n"/>
      <c r="F206" s="19" t="n"/>
      <c r="G206" s="22" t="n"/>
      <c r="H206" s="19" t="n"/>
      <c r="I206" s="22" t="n"/>
      <c r="J206" s="20" t="n"/>
      <c r="K206" s="19" t="n"/>
      <c r="L206" s="23">
        <f>IF($E206="","",IFERROR(VLOOKUP($D206,'Plan setup'!$A$17:$B$21,2,FALSE),0))</f>
        <v/>
      </c>
      <c r="M206" s="17">
        <f>IF($E206="","",$E206*$L206)</f>
        <v/>
      </c>
      <c r="N206" s="17">
        <f>IF(OR($E206="",$F206=""),0,$M206*$G206)</f>
        <v/>
      </c>
      <c r="O206" s="17">
        <f>IF(OR($E206="",$H206=""),0,$M206*$I206)</f>
        <v/>
      </c>
      <c r="P206">
        <f>IF($J206="","",IF($J206-$B206&lt;='Plan setup'!$B$5,"Reversed","Outside window"))</f>
        <v/>
      </c>
      <c r="Q206" s="24">
        <f>IF($P206="Reversed",$J206,"")</f>
        <v/>
      </c>
      <c r="R206">
        <f>IF($E206="","",IF(ABS($G206+IF($I206="",0,$I206)-1)&gt;0.0001,"Splits must total 100%",IF(COUNTIF('Plan setup'!$A$25:$A$34,$F206)=0,"Rep 1 not in Plan setup",IF(IF($H206="",FALSE,COUNTIF('Plan setup'!$A$25:$A$34,$H206)=0),"Rep 2 not in Plan setup",IF(COUNTIF('Plan setup'!$A$17:$A$21,$D206)=0,"Unknown deal type",IF($P206="Outside window","Clawback outside window: not reversed","OK"))))))</f>
        <v/>
      </c>
      <c r="S206">
        <f>AND(ISNUMBER($B206),OR($F206=Statement!$C$3,$H206=Statement!$C$3),OR(AND($B206&gt;=Statement!$C$6,$B206&lt;=Statement!$C$7),AND(ISNUMBER($Q206),$Q206&gt;=Statement!$C$6,$Q206&lt;=Statement!$C$7)))</f>
        <v/>
      </c>
      <c r="T206">
        <f>IF($S206,COUNTIF($S$2:$S206,TRUE),"")</f>
        <v/>
      </c>
      <c r="U206" s="17">
        <f>IF($F206=Statement!$C$3,$N206,0)+IF($H206=Statement!$C$3,$O206,0)</f>
        <v/>
      </c>
      <c r="V206" s="17">
        <f>IF(NOT($S206),0,IF(AND($B206&gt;=Statement!$C$6,$B206&lt;=Statement!$C$7),$U206,0)-IF(ISNUMBER($Q206),IF(AND($Q206&gt;=Statement!$C$6,$Q206&lt;=Statement!$C$7),$U206,0),0))</f>
        <v/>
      </c>
      <c r="W206" s="23">
        <f>IF($F206=Statement!$C$3,$G206,0)+IF($H206=Statement!$C$3,IF($I206="",0,$I206),0)</f>
        <v/>
      </c>
      <c r="X206">
        <f>IF(NOT($S206),"",IF(ISNUMBER($Q206),IF(AND($Q206&gt;=Statement!$C$6,$Q206&lt;=Statement!$C$7),"Clawback: credit reversed",""),"")&amp;IF(AND($B206&gt;=Statement!$C$6,$B206&lt;=Statement!$C$7,N($L206)&lt;1),"Partial credit: "&amp;TEXT($L206,"0%"),""))</f>
        <v/>
      </c>
    </row>
    <row r="207">
      <c r="A207" s="19" t="n"/>
      <c r="B207" s="20" t="n"/>
      <c r="C207" s="19" t="n"/>
      <c r="D207" s="19" t="n"/>
      <c r="E207" s="21" t="n"/>
      <c r="F207" s="19" t="n"/>
      <c r="G207" s="22" t="n"/>
      <c r="H207" s="19" t="n"/>
      <c r="I207" s="22" t="n"/>
      <c r="J207" s="20" t="n"/>
      <c r="K207" s="19" t="n"/>
      <c r="L207" s="23">
        <f>IF($E207="","",IFERROR(VLOOKUP($D207,'Plan setup'!$A$17:$B$21,2,FALSE),0))</f>
        <v/>
      </c>
      <c r="M207" s="17">
        <f>IF($E207="","",$E207*$L207)</f>
        <v/>
      </c>
      <c r="N207" s="17">
        <f>IF(OR($E207="",$F207=""),0,$M207*$G207)</f>
        <v/>
      </c>
      <c r="O207" s="17">
        <f>IF(OR($E207="",$H207=""),0,$M207*$I207)</f>
        <v/>
      </c>
      <c r="P207">
        <f>IF($J207="","",IF($J207-$B207&lt;='Plan setup'!$B$5,"Reversed","Outside window"))</f>
        <v/>
      </c>
      <c r="Q207" s="24">
        <f>IF($P207="Reversed",$J207,"")</f>
        <v/>
      </c>
      <c r="R207">
        <f>IF($E207="","",IF(ABS($G207+IF($I207="",0,$I207)-1)&gt;0.0001,"Splits must total 100%",IF(COUNTIF('Plan setup'!$A$25:$A$34,$F207)=0,"Rep 1 not in Plan setup",IF(IF($H207="",FALSE,COUNTIF('Plan setup'!$A$25:$A$34,$H207)=0),"Rep 2 not in Plan setup",IF(COUNTIF('Plan setup'!$A$17:$A$21,$D207)=0,"Unknown deal type",IF($P207="Outside window","Clawback outside window: not reversed","OK"))))))</f>
        <v/>
      </c>
      <c r="S207">
        <f>AND(ISNUMBER($B207),OR($F207=Statement!$C$3,$H207=Statement!$C$3),OR(AND($B207&gt;=Statement!$C$6,$B207&lt;=Statement!$C$7),AND(ISNUMBER($Q207),$Q207&gt;=Statement!$C$6,$Q207&lt;=Statement!$C$7)))</f>
        <v/>
      </c>
      <c r="T207">
        <f>IF($S207,COUNTIF($S$2:$S207,TRUE),"")</f>
        <v/>
      </c>
      <c r="U207" s="17">
        <f>IF($F207=Statement!$C$3,$N207,0)+IF($H207=Statement!$C$3,$O207,0)</f>
        <v/>
      </c>
      <c r="V207" s="17">
        <f>IF(NOT($S207),0,IF(AND($B207&gt;=Statement!$C$6,$B207&lt;=Statement!$C$7),$U207,0)-IF(ISNUMBER($Q207),IF(AND($Q207&gt;=Statement!$C$6,$Q207&lt;=Statement!$C$7),$U207,0),0))</f>
        <v/>
      </c>
      <c r="W207" s="23">
        <f>IF($F207=Statement!$C$3,$G207,0)+IF($H207=Statement!$C$3,IF($I207="",0,$I207),0)</f>
        <v/>
      </c>
      <c r="X207">
        <f>IF(NOT($S207),"",IF(ISNUMBER($Q207),IF(AND($Q207&gt;=Statement!$C$6,$Q207&lt;=Statement!$C$7),"Clawback: credit reversed",""),"")&amp;IF(AND($B207&gt;=Statement!$C$6,$B207&lt;=Statement!$C$7,N($L207)&lt;1),"Partial credit: "&amp;TEXT($L207,"0%"),""))</f>
        <v/>
      </c>
    </row>
    <row r="208">
      <c r="A208" s="19" t="n"/>
      <c r="B208" s="20" t="n"/>
      <c r="C208" s="19" t="n"/>
      <c r="D208" s="19" t="n"/>
      <c r="E208" s="21" t="n"/>
      <c r="F208" s="19" t="n"/>
      <c r="G208" s="22" t="n"/>
      <c r="H208" s="19" t="n"/>
      <c r="I208" s="22" t="n"/>
      <c r="J208" s="20" t="n"/>
      <c r="K208" s="19" t="n"/>
      <c r="L208" s="23">
        <f>IF($E208="","",IFERROR(VLOOKUP($D208,'Plan setup'!$A$17:$B$21,2,FALSE),0))</f>
        <v/>
      </c>
      <c r="M208" s="17">
        <f>IF($E208="","",$E208*$L208)</f>
        <v/>
      </c>
      <c r="N208" s="17">
        <f>IF(OR($E208="",$F208=""),0,$M208*$G208)</f>
        <v/>
      </c>
      <c r="O208" s="17">
        <f>IF(OR($E208="",$H208=""),0,$M208*$I208)</f>
        <v/>
      </c>
      <c r="P208">
        <f>IF($J208="","",IF($J208-$B208&lt;='Plan setup'!$B$5,"Reversed","Outside window"))</f>
        <v/>
      </c>
      <c r="Q208" s="24">
        <f>IF($P208="Reversed",$J208,"")</f>
        <v/>
      </c>
      <c r="R208">
        <f>IF($E208="","",IF(ABS($G208+IF($I208="",0,$I208)-1)&gt;0.0001,"Splits must total 100%",IF(COUNTIF('Plan setup'!$A$25:$A$34,$F208)=0,"Rep 1 not in Plan setup",IF(IF($H208="",FALSE,COUNTIF('Plan setup'!$A$25:$A$34,$H208)=0),"Rep 2 not in Plan setup",IF(COUNTIF('Plan setup'!$A$17:$A$21,$D208)=0,"Unknown deal type",IF($P208="Outside window","Clawback outside window: not reversed","OK"))))))</f>
        <v/>
      </c>
      <c r="S208">
        <f>AND(ISNUMBER($B208),OR($F208=Statement!$C$3,$H208=Statement!$C$3),OR(AND($B208&gt;=Statement!$C$6,$B208&lt;=Statement!$C$7),AND(ISNUMBER($Q208),$Q208&gt;=Statement!$C$6,$Q208&lt;=Statement!$C$7)))</f>
        <v/>
      </c>
      <c r="T208">
        <f>IF($S208,COUNTIF($S$2:$S208,TRUE),"")</f>
        <v/>
      </c>
      <c r="U208" s="17">
        <f>IF($F208=Statement!$C$3,$N208,0)+IF($H208=Statement!$C$3,$O208,0)</f>
        <v/>
      </c>
      <c r="V208" s="17">
        <f>IF(NOT($S208),0,IF(AND($B208&gt;=Statement!$C$6,$B208&lt;=Statement!$C$7),$U208,0)-IF(ISNUMBER($Q208),IF(AND($Q208&gt;=Statement!$C$6,$Q208&lt;=Statement!$C$7),$U208,0),0))</f>
        <v/>
      </c>
      <c r="W208" s="23">
        <f>IF($F208=Statement!$C$3,$G208,0)+IF($H208=Statement!$C$3,IF($I208="",0,$I208),0)</f>
        <v/>
      </c>
      <c r="X208">
        <f>IF(NOT($S208),"",IF(ISNUMBER($Q208),IF(AND($Q208&gt;=Statement!$C$6,$Q208&lt;=Statement!$C$7),"Clawback: credit reversed",""),"")&amp;IF(AND($B208&gt;=Statement!$C$6,$B208&lt;=Statement!$C$7,N($L208)&lt;1),"Partial credit: "&amp;TEXT($L208,"0%"),""))</f>
        <v/>
      </c>
    </row>
    <row r="209">
      <c r="A209" s="19" t="n"/>
      <c r="B209" s="20" t="n"/>
      <c r="C209" s="19" t="n"/>
      <c r="D209" s="19" t="n"/>
      <c r="E209" s="21" t="n"/>
      <c r="F209" s="19" t="n"/>
      <c r="G209" s="22" t="n"/>
      <c r="H209" s="19" t="n"/>
      <c r="I209" s="22" t="n"/>
      <c r="J209" s="20" t="n"/>
      <c r="K209" s="19" t="n"/>
      <c r="L209" s="23">
        <f>IF($E209="","",IFERROR(VLOOKUP($D209,'Plan setup'!$A$17:$B$21,2,FALSE),0))</f>
        <v/>
      </c>
      <c r="M209" s="17">
        <f>IF($E209="","",$E209*$L209)</f>
        <v/>
      </c>
      <c r="N209" s="17">
        <f>IF(OR($E209="",$F209=""),0,$M209*$G209)</f>
        <v/>
      </c>
      <c r="O209" s="17">
        <f>IF(OR($E209="",$H209=""),0,$M209*$I209)</f>
        <v/>
      </c>
      <c r="P209">
        <f>IF($J209="","",IF($J209-$B209&lt;='Plan setup'!$B$5,"Reversed","Outside window"))</f>
        <v/>
      </c>
      <c r="Q209" s="24">
        <f>IF($P209="Reversed",$J209,"")</f>
        <v/>
      </c>
      <c r="R209">
        <f>IF($E209="","",IF(ABS($G209+IF($I209="",0,$I209)-1)&gt;0.0001,"Splits must total 100%",IF(COUNTIF('Plan setup'!$A$25:$A$34,$F209)=0,"Rep 1 not in Plan setup",IF(IF($H209="",FALSE,COUNTIF('Plan setup'!$A$25:$A$34,$H209)=0),"Rep 2 not in Plan setup",IF(COUNTIF('Plan setup'!$A$17:$A$21,$D209)=0,"Unknown deal type",IF($P209="Outside window","Clawback outside window: not reversed","OK"))))))</f>
        <v/>
      </c>
      <c r="S209">
        <f>AND(ISNUMBER($B209),OR($F209=Statement!$C$3,$H209=Statement!$C$3),OR(AND($B209&gt;=Statement!$C$6,$B209&lt;=Statement!$C$7),AND(ISNUMBER($Q209),$Q209&gt;=Statement!$C$6,$Q209&lt;=Statement!$C$7)))</f>
        <v/>
      </c>
      <c r="T209">
        <f>IF($S209,COUNTIF($S$2:$S209,TRUE),"")</f>
        <v/>
      </c>
      <c r="U209" s="17">
        <f>IF($F209=Statement!$C$3,$N209,0)+IF($H209=Statement!$C$3,$O209,0)</f>
        <v/>
      </c>
      <c r="V209" s="17">
        <f>IF(NOT($S209),0,IF(AND($B209&gt;=Statement!$C$6,$B209&lt;=Statement!$C$7),$U209,0)-IF(ISNUMBER($Q209),IF(AND($Q209&gt;=Statement!$C$6,$Q209&lt;=Statement!$C$7),$U209,0),0))</f>
        <v/>
      </c>
      <c r="W209" s="23">
        <f>IF($F209=Statement!$C$3,$G209,0)+IF($H209=Statement!$C$3,IF($I209="",0,$I209),0)</f>
        <v/>
      </c>
      <c r="X209">
        <f>IF(NOT($S209),"",IF(ISNUMBER($Q209),IF(AND($Q209&gt;=Statement!$C$6,$Q209&lt;=Statement!$C$7),"Clawback: credit reversed",""),"")&amp;IF(AND($B209&gt;=Statement!$C$6,$B209&lt;=Statement!$C$7,N($L209)&lt;1),"Partial credit: "&amp;TEXT($L209,"0%"),""))</f>
        <v/>
      </c>
    </row>
    <row r="210">
      <c r="A210" s="19" t="n"/>
      <c r="B210" s="20" t="n"/>
      <c r="C210" s="19" t="n"/>
      <c r="D210" s="19" t="n"/>
      <c r="E210" s="21" t="n"/>
      <c r="F210" s="19" t="n"/>
      <c r="G210" s="22" t="n"/>
      <c r="H210" s="19" t="n"/>
      <c r="I210" s="22" t="n"/>
      <c r="J210" s="20" t="n"/>
      <c r="K210" s="19" t="n"/>
      <c r="L210" s="23">
        <f>IF($E210="","",IFERROR(VLOOKUP($D210,'Plan setup'!$A$17:$B$21,2,FALSE),0))</f>
        <v/>
      </c>
      <c r="M210" s="17">
        <f>IF($E210="","",$E210*$L210)</f>
        <v/>
      </c>
      <c r="N210" s="17">
        <f>IF(OR($E210="",$F210=""),0,$M210*$G210)</f>
        <v/>
      </c>
      <c r="O210" s="17">
        <f>IF(OR($E210="",$H210=""),0,$M210*$I210)</f>
        <v/>
      </c>
      <c r="P210">
        <f>IF($J210="","",IF($J210-$B210&lt;='Plan setup'!$B$5,"Reversed","Outside window"))</f>
        <v/>
      </c>
      <c r="Q210" s="24">
        <f>IF($P210="Reversed",$J210,"")</f>
        <v/>
      </c>
      <c r="R210">
        <f>IF($E210="","",IF(ABS($G210+IF($I210="",0,$I210)-1)&gt;0.0001,"Splits must total 100%",IF(COUNTIF('Plan setup'!$A$25:$A$34,$F210)=0,"Rep 1 not in Plan setup",IF(IF($H210="",FALSE,COUNTIF('Plan setup'!$A$25:$A$34,$H210)=0),"Rep 2 not in Plan setup",IF(COUNTIF('Plan setup'!$A$17:$A$21,$D210)=0,"Unknown deal type",IF($P210="Outside window","Clawback outside window: not reversed","OK"))))))</f>
        <v/>
      </c>
      <c r="S210">
        <f>AND(ISNUMBER($B210),OR($F210=Statement!$C$3,$H210=Statement!$C$3),OR(AND($B210&gt;=Statement!$C$6,$B210&lt;=Statement!$C$7),AND(ISNUMBER($Q210),$Q210&gt;=Statement!$C$6,$Q210&lt;=Statement!$C$7)))</f>
        <v/>
      </c>
      <c r="T210">
        <f>IF($S210,COUNTIF($S$2:$S210,TRUE),"")</f>
        <v/>
      </c>
      <c r="U210" s="17">
        <f>IF($F210=Statement!$C$3,$N210,0)+IF($H210=Statement!$C$3,$O210,0)</f>
        <v/>
      </c>
      <c r="V210" s="17">
        <f>IF(NOT($S210),0,IF(AND($B210&gt;=Statement!$C$6,$B210&lt;=Statement!$C$7),$U210,0)-IF(ISNUMBER($Q210),IF(AND($Q210&gt;=Statement!$C$6,$Q210&lt;=Statement!$C$7),$U210,0),0))</f>
        <v/>
      </c>
      <c r="W210" s="23">
        <f>IF($F210=Statement!$C$3,$G210,0)+IF($H210=Statement!$C$3,IF($I210="",0,$I210),0)</f>
        <v/>
      </c>
      <c r="X210">
        <f>IF(NOT($S210),"",IF(ISNUMBER($Q210),IF(AND($Q210&gt;=Statement!$C$6,$Q210&lt;=Statement!$C$7),"Clawback: credit reversed",""),"")&amp;IF(AND($B210&gt;=Statement!$C$6,$B210&lt;=Statement!$C$7,N($L210)&lt;1),"Partial credit: "&amp;TEXT($L210,"0%"),""))</f>
        <v/>
      </c>
    </row>
    <row r="211">
      <c r="A211" s="19" t="n"/>
      <c r="B211" s="20" t="n"/>
      <c r="C211" s="19" t="n"/>
      <c r="D211" s="19" t="n"/>
      <c r="E211" s="21" t="n"/>
      <c r="F211" s="19" t="n"/>
      <c r="G211" s="22" t="n"/>
      <c r="H211" s="19" t="n"/>
      <c r="I211" s="22" t="n"/>
      <c r="J211" s="20" t="n"/>
      <c r="K211" s="19" t="n"/>
      <c r="L211" s="23">
        <f>IF($E211="","",IFERROR(VLOOKUP($D211,'Plan setup'!$A$17:$B$21,2,FALSE),0))</f>
        <v/>
      </c>
      <c r="M211" s="17">
        <f>IF($E211="","",$E211*$L211)</f>
        <v/>
      </c>
      <c r="N211" s="17">
        <f>IF(OR($E211="",$F211=""),0,$M211*$G211)</f>
        <v/>
      </c>
      <c r="O211" s="17">
        <f>IF(OR($E211="",$H211=""),0,$M211*$I211)</f>
        <v/>
      </c>
      <c r="P211">
        <f>IF($J211="","",IF($J211-$B211&lt;='Plan setup'!$B$5,"Reversed","Outside window"))</f>
        <v/>
      </c>
      <c r="Q211" s="24">
        <f>IF($P211="Reversed",$J211,"")</f>
        <v/>
      </c>
      <c r="R211">
        <f>IF($E211="","",IF(ABS($G211+IF($I211="",0,$I211)-1)&gt;0.0001,"Splits must total 100%",IF(COUNTIF('Plan setup'!$A$25:$A$34,$F211)=0,"Rep 1 not in Plan setup",IF(IF($H211="",FALSE,COUNTIF('Plan setup'!$A$25:$A$34,$H211)=0),"Rep 2 not in Plan setup",IF(COUNTIF('Plan setup'!$A$17:$A$21,$D211)=0,"Unknown deal type",IF($P211="Outside window","Clawback outside window: not reversed","OK"))))))</f>
        <v/>
      </c>
      <c r="S211">
        <f>AND(ISNUMBER($B211),OR($F211=Statement!$C$3,$H211=Statement!$C$3),OR(AND($B211&gt;=Statement!$C$6,$B211&lt;=Statement!$C$7),AND(ISNUMBER($Q211),$Q211&gt;=Statement!$C$6,$Q211&lt;=Statement!$C$7)))</f>
        <v/>
      </c>
      <c r="T211">
        <f>IF($S211,COUNTIF($S$2:$S211,TRUE),"")</f>
        <v/>
      </c>
      <c r="U211" s="17">
        <f>IF($F211=Statement!$C$3,$N211,0)+IF($H211=Statement!$C$3,$O211,0)</f>
        <v/>
      </c>
      <c r="V211" s="17">
        <f>IF(NOT($S211),0,IF(AND($B211&gt;=Statement!$C$6,$B211&lt;=Statement!$C$7),$U211,0)-IF(ISNUMBER($Q211),IF(AND($Q211&gt;=Statement!$C$6,$Q211&lt;=Statement!$C$7),$U211,0),0))</f>
        <v/>
      </c>
      <c r="W211" s="23">
        <f>IF($F211=Statement!$C$3,$G211,0)+IF($H211=Statement!$C$3,IF($I211="",0,$I211),0)</f>
        <v/>
      </c>
      <c r="X211">
        <f>IF(NOT($S211),"",IF(ISNUMBER($Q211),IF(AND($Q211&gt;=Statement!$C$6,$Q211&lt;=Statement!$C$7),"Clawback: credit reversed",""),"")&amp;IF(AND($B211&gt;=Statement!$C$6,$B211&lt;=Statement!$C$7,N($L211)&lt;1),"Partial credit: "&amp;TEXT($L211,"0%"),""))</f>
        <v/>
      </c>
    </row>
    <row r="212">
      <c r="A212" s="19" t="n"/>
      <c r="B212" s="20" t="n"/>
      <c r="C212" s="19" t="n"/>
      <c r="D212" s="19" t="n"/>
      <c r="E212" s="21" t="n"/>
      <c r="F212" s="19" t="n"/>
      <c r="G212" s="22" t="n"/>
      <c r="H212" s="19" t="n"/>
      <c r="I212" s="22" t="n"/>
      <c r="J212" s="20" t="n"/>
      <c r="K212" s="19" t="n"/>
      <c r="L212" s="23">
        <f>IF($E212="","",IFERROR(VLOOKUP($D212,'Plan setup'!$A$17:$B$21,2,FALSE),0))</f>
        <v/>
      </c>
      <c r="M212" s="17">
        <f>IF($E212="","",$E212*$L212)</f>
        <v/>
      </c>
      <c r="N212" s="17">
        <f>IF(OR($E212="",$F212=""),0,$M212*$G212)</f>
        <v/>
      </c>
      <c r="O212" s="17">
        <f>IF(OR($E212="",$H212=""),0,$M212*$I212)</f>
        <v/>
      </c>
      <c r="P212">
        <f>IF($J212="","",IF($J212-$B212&lt;='Plan setup'!$B$5,"Reversed","Outside window"))</f>
        <v/>
      </c>
      <c r="Q212" s="24">
        <f>IF($P212="Reversed",$J212,"")</f>
        <v/>
      </c>
      <c r="R212">
        <f>IF($E212="","",IF(ABS($G212+IF($I212="",0,$I212)-1)&gt;0.0001,"Splits must total 100%",IF(COUNTIF('Plan setup'!$A$25:$A$34,$F212)=0,"Rep 1 not in Plan setup",IF(IF($H212="",FALSE,COUNTIF('Plan setup'!$A$25:$A$34,$H212)=0),"Rep 2 not in Plan setup",IF(COUNTIF('Plan setup'!$A$17:$A$21,$D212)=0,"Unknown deal type",IF($P212="Outside window","Clawback outside window: not reversed","OK"))))))</f>
        <v/>
      </c>
      <c r="S212">
        <f>AND(ISNUMBER($B212),OR($F212=Statement!$C$3,$H212=Statement!$C$3),OR(AND($B212&gt;=Statement!$C$6,$B212&lt;=Statement!$C$7),AND(ISNUMBER($Q212),$Q212&gt;=Statement!$C$6,$Q212&lt;=Statement!$C$7)))</f>
        <v/>
      </c>
      <c r="T212">
        <f>IF($S212,COUNTIF($S$2:$S212,TRUE),"")</f>
        <v/>
      </c>
      <c r="U212" s="17">
        <f>IF($F212=Statement!$C$3,$N212,0)+IF($H212=Statement!$C$3,$O212,0)</f>
        <v/>
      </c>
      <c r="V212" s="17">
        <f>IF(NOT($S212),0,IF(AND($B212&gt;=Statement!$C$6,$B212&lt;=Statement!$C$7),$U212,0)-IF(ISNUMBER($Q212),IF(AND($Q212&gt;=Statement!$C$6,$Q212&lt;=Statement!$C$7),$U212,0),0))</f>
        <v/>
      </c>
      <c r="W212" s="23">
        <f>IF($F212=Statement!$C$3,$G212,0)+IF($H212=Statement!$C$3,IF($I212="",0,$I212),0)</f>
        <v/>
      </c>
      <c r="X212">
        <f>IF(NOT($S212),"",IF(ISNUMBER($Q212),IF(AND($Q212&gt;=Statement!$C$6,$Q212&lt;=Statement!$C$7),"Clawback: credit reversed",""),"")&amp;IF(AND($B212&gt;=Statement!$C$6,$B212&lt;=Statement!$C$7,N($L212)&lt;1),"Partial credit: "&amp;TEXT($L212,"0%"),""))</f>
        <v/>
      </c>
    </row>
    <row r="213">
      <c r="A213" s="19" t="n"/>
      <c r="B213" s="20" t="n"/>
      <c r="C213" s="19" t="n"/>
      <c r="D213" s="19" t="n"/>
      <c r="E213" s="21" t="n"/>
      <c r="F213" s="19" t="n"/>
      <c r="G213" s="22" t="n"/>
      <c r="H213" s="19" t="n"/>
      <c r="I213" s="22" t="n"/>
      <c r="J213" s="20" t="n"/>
      <c r="K213" s="19" t="n"/>
      <c r="L213" s="23">
        <f>IF($E213="","",IFERROR(VLOOKUP($D213,'Plan setup'!$A$17:$B$21,2,FALSE),0))</f>
        <v/>
      </c>
      <c r="M213" s="17">
        <f>IF($E213="","",$E213*$L213)</f>
        <v/>
      </c>
      <c r="N213" s="17">
        <f>IF(OR($E213="",$F213=""),0,$M213*$G213)</f>
        <v/>
      </c>
      <c r="O213" s="17">
        <f>IF(OR($E213="",$H213=""),0,$M213*$I213)</f>
        <v/>
      </c>
      <c r="P213">
        <f>IF($J213="","",IF($J213-$B213&lt;='Plan setup'!$B$5,"Reversed","Outside window"))</f>
        <v/>
      </c>
      <c r="Q213" s="24">
        <f>IF($P213="Reversed",$J213,"")</f>
        <v/>
      </c>
      <c r="R213">
        <f>IF($E213="","",IF(ABS($G213+IF($I213="",0,$I213)-1)&gt;0.0001,"Splits must total 100%",IF(COUNTIF('Plan setup'!$A$25:$A$34,$F213)=0,"Rep 1 not in Plan setup",IF(IF($H213="",FALSE,COUNTIF('Plan setup'!$A$25:$A$34,$H213)=0),"Rep 2 not in Plan setup",IF(COUNTIF('Plan setup'!$A$17:$A$21,$D213)=0,"Unknown deal type",IF($P213="Outside window","Clawback outside window: not reversed","OK"))))))</f>
        <v/>
      </c>
      <c r="S213">
        <f>AND(ISNUMBER($B213),OR($F213=Statement!$C$3,$H213=Statement!$C$3),OR(AND($B213&gt;=Statement!$C$6,$B213&lt;=Statement!$C$7),AND(ISNUMBER($Q213),$Q213&gt;=Statement!$C$6,$Q213&lt;=Statement!$C$7)))</f>
        <v/>
      </c>
      <c r="T213">
        <f>IF($S213,COUNTIF($S$2:$S213,TRUE),"")</f>
        <v/>
      </c>
      <c r="U213" s="17">
        <f>IF($F213=Statement!$C$3,$N213,0)+IF($H213=Statement!$C$3,$O213,0)</f>
        <v/>
      </c>
      <c r="V213" s="17">
        <f>IF(NOT($S213),0,IF(AND($B213&gt;=Statement!$C$6,$B213&lt;=Statement!$C$7),$U213,0)-IF(ISNUMBER($Q213),IF(AND($Q213&gt;=Statement!$C$6,$Q213&lt;=Statement!$C$7),$U213,0),0))</f>
        <v/>
      </c>
      <c r="W213" s="23">
        <f>IF($F213=Statement!$C$3,$G213,0)+IF($H213=Statement!$C$3,IF($I213="",0,$I213),0)</f>
        <v/>
      </c>
      <c r="X213">
        <f>IF(NOT($S213),"",IF(ISNUMBER($Q213),IF(AND($Q213&gt;=Statement!$C$6,$Q213&lt;=Statement!$C$7),"Clawback: credit reversed",""),"")&amp;IF(AND($B213&gt;=Statement!$C$6,$B213&lt;=Statement!$C$7,N($L213)&lt;1),"Partial credit: "&amp;TEXT($L213,"0%"),""))</f>
        <v/>
      </c>
    </row>
    <row r="214">
      <c r="A214" s="19" t="n"/>
      <c r="B214" s="20" t="n"/>
      <c r="C214" s="19" t="n"/>
      <c r="D214" s="19" t="n"/>
      <c r="E214" s="21" t="n"/>
      <c r="F214" s="19" t="n"/>
      <c r="G214" s="22" t="n"/>
      <c r="H214" s="19" t="n"/>
      <c r="I214" s="22" t="n"/>
      <c r="J214" s="20" t="n"/>
      <c r="K214" s="19" t="n"/>
      <c r="L214" s="23">
        <f>IF($E214="","",IFERROR(VLOOKUP($D214,'Plan setup'!$A$17:$B$21,2,FALSE),0))</f>
        <v/>
      </c>
      <c r="M214" s="17">
        <f>IF($E214="","",$E214*$L214)</f>
        <v/>
      </c>
      <c r="N214" s="17">
        <f>IF(OR($E214="",$F214=""),0,$M214*$G214)</f>
        <v/>
      </c>
      <c r="O214" s="17">
        <f>IF(OR($E214="",$H214=""),0,$M214*$I214)</f>
        <v/>
      </c>
      <c r="P214">
        <f>IF($J214="","",IF($J214-$B214&lt;='Plan setup'!$B$5,"Reversed","Outside window"))</f>
        <v/>
      </c>
      <c r="Q214" s="24">
        <f>IF($P214="Reversed",$J214,"")</f>
        <v/>
      </c>
      <c r="R214">
        <f>IF($E214="","",IF(ABS($G214+IF($I214="",0,$I214)-1)&gt;0.0001,"Splits must total 100%",IF(COUNTIF('Plan setup'!$A$25:$A$34,$F214)=0,"Rep 1 not in Plan setup",IF(IF($H214="",FALSE,COUNTIF('Plan setup'!$A$25:$A$34,$H214)=0),"Rep 2 not in Plan setup",IF(COUNTIF('Plan setup'!$A$17:$A$21,$D214)=0,"Unknown deal type",IF($P214="Outside window","Clawback outside window: not reversed","OK"))))))</f>
        <v/>
      </c>
      <c r="S214">
        <f>AND(ISNUMBER($B214),OR($F214=Statement!$C$3,$H214=Statement!$C$3),OR(AND($B214&gt;=Statement!$C$6,$B214&lt;=Statement!$C$7),AND(ISNUMBER($Q214),$Q214&gt;=Statement!$C$6,$Q214&lt;=Statement!$C$7)))</f>
        <v/>
      </c>
      <c r="T214">
        <f>IF($S214,COUNTIF($S$2:$S214,TRUE),"")</f>
        <v/>
      </c>
      <c r="U214" s="17">
        <f>IF($F214=Statement!$C$3,$N214,0)+IF($H214=Statement!$C$3,$O214,0)</f>
        <v/>
      </c>
      <c r="V214" s="17">
        <f>IF(NOT($S214),0,IF(AND($B214&gt;=Statement!$C$6,$B214&lt;=Statement!$C$7),$U214,0)-IF(ISNUMBER($Q214),IF(AND($Q214&gt;=Statement!$C$6,$Q214&lt;=Statement!$C$7),$U214,0),0))</f>
        <v/>
      </c>
      <c r="W214" s="23">
        <f>IF($F214=Statement!$C$3,$G214,0)+IF($H214=Statement!$C$3,IF($I214="",0,$I214),0)</f>
        <v/>
      </c>
      <c r="X214">
        <f>IF(NOT($S214),"",IF(ISNUMBER($Q214),IF(AND($Q214&gt;=Statement!$C$6,$Q214&lt;=Statement!$C$7),"Clawback: credit reversed",""),"")&amp;IF(AND($B214&gt;=Statement!$C$6,$B214&lt;=Statement!$C$7,N($L214)&lt;1),"Partial credit: "&amp;TEXT($L214,"0%"),""))</f>
        <v/>
      </c>
    </row>
    <row r="215">
      <c r="A215" s="19" t="n"/>
      <c r="B215" s="20" t="n"/>
      <c r="C215" s="19" t="n"/>
      <c r="D215" s="19" t="n"/>
      <c r="E215" s="21" t="n"/>
      <c r="F215" s="19" t="n"/>
      <c r="G215" s="22" t="n"/>
      <c r="H215" s="19" t="n"/>
      <c r="I215" s="22" t="n"/>
      <c r="J215" s="20" t="n"/>
      <c r="K215" s="19" t="n"/>
      <c r="L215" s="23">
        <f>IF($E215="","",IFERROR(VLOOKUP($D215,'Plan setup'!$A$17:$B$21,2,FALSE),0))</f>
        <v/>
      </c>
      <c r="M215" s="17">
        <f>IF($E215="","",$E215*$L215)</f>
        <v/>
      </c>
      <c r="N215" s="17">
        <f>IF(OR($E215="",$F215=""),0,$M215*$G215)</f>
        <v/>
      </c>
      <c r="O215" s="17">
        <f>IF(OR($E215="",$H215=""),0,$M215*$I215)</f>
        <v/>
      </c>
      <c r="P215">
        <f>IF($J215="","",IF($J215-$B215&lt;='Plan setup'!$B$5,"Reversed","Outside window"))</f>
        <v/>
      </c>
      <c r="Q215" s="24">
        <f>IF($P215="Reversed",$J215,"")</f>
        <v/>
      </c>
      <c r="R215">
        <f>IF($E215="","",IF(ABS($G215+IF($I215="",0,$I215)-1)&gt;0.0001,"Splits must total 100%",IF(COUNTIF('Plan setup'!$A$25:$A$34,$F215)=0,"Rep 1 not in Plan setup",IF(IF($H215="",FALSE,COUNTIF('Plan setup'!$A$25:$A$34,$H215)=0),"Rep 2 not in Plan setup",IF(COUNTIF('Plan setup'!$A$17:$A$21,$D215)=0,"Unknown deal type",IF($P215="Outside window","Clawback outside window: not reversed","OK"))))))</f>
        <v/>
      </c>
      <c r="S215">
        <f>AND(ISNUMBER($B215),OR($F215=Statement!$C$3,$H215=Statement!$C$3),OR(AND($B215&gt;=Statement!$C$6,$B215&lt;=Statement!$C$7),AND(ISNUMBER($Q215),$Q215&gt;=Statement!$C$6,$Q215&lt;=Statement!$C$7)))</f>
        <v/>
      </c>
      <c r="T215">
        <f>IF($S215,COUNTIF($S$2:$S215,TRUE),"")</f>
        <v/>
      </c>
      <c r="U215" s="17">
        <f>IF($F215=Statement!$C$3,$N215,0)+IF($H215=Statement!$C$3,$O215,0)</f>
        <v/>
      </c>
      <c r="V215" s="17">
        <f>IF(NOT($S215),0,IF(AND($B215&gt;=Statement!$C$6,$B215&lt;=Statement!$C$7),$U215,0)-IF(ISNUMBER($Q215),IF(AND($Q215&gt;=Statement!$C$6,$Q215&lt;=Statement!$C$7),$U215,0),0))</f>
        <v/>
      </c>
      <c r="W215" s="23">
        <f>IF($F215=Statement!$C$3,$G215,0)+IF($H215=Statement!$C$3,IF($I215="",0,$I215),0)</f>
        <v/>
      </c>
      <c r="X215">
        <f>IF(NOT($S215),"",IF(ISNUMBER($Q215),IF(AND($Q215&gt;=Statement!$C$6,$Q215&lt;=Statement!$C$7),"Clawback: credit reversed",""),"")&amp;IF(AND($B215&gt;=Statement!$C$6,$B215&lt;=Statement!$C$7,N($L215)&lt;1),"Partial credit: "&amp;TEXT($L215,"0%"),""))</f>
        <v/>
      </c>
    </row>
    <row r="216">
      <c r="A216" s="19" t="n"/>
      <c r="B216" s="20" t="n"/>
      <c r="C216" s="19" t="n"/>
      <c r="D216" s="19" t="n"/>
      <c r="E216" s="21" t="n"/>
      <c r="F216" s="19" t="n"/>
      <c r="G216" s="22" t="n"/>
      <c r="H216" s="19" t="n"/>
      <c r="I216" s="22" t="n"/>
      <c r="J216" s="20" t="n"/>
      <c r="K216" s="19" t="n"/>
      <c r="L216" s="23">
        <f>IF($E216="","",IFERROR(VLOOKUP($D216,'Plan setup'!$A$17:$B$21,2,FALSE),0))</f>
        <v/>
      </c>
      <c r="M216" s="17">
        <f>IF($E216="","",$E216*$L216)</f>
        <v/>
      </c>
      <c r="N216" s="17">
        <f>IF(OR($E216="",$F216=""),0,$M216*$G216)</f>
        <v/>
      </c>
      <c r="O216" s="17">
        <f>IF(OR($E216="",$H216=""),0,$M216*$I216)</f>
        <v/>
      </c>
      <c r="P216">
        <f>IF($J216="","",IF($J216-$B216&lt;='Plan setup'!$B$5,"Reversed","Outside window"))</f>
        <v/>
      </c>
      <c r="Q216" s="24">
        <f>IF($P216="Reversed",$J216,"")</f>
        <v/>
      </c>
      <c r="R216">
        <f>IF($E216="","",IF(ABS($G216+IF($I216="",0,$I216)-1)&gt;0.0001,"Splits must total 100%",IF(COUNTIF('Plan setup'!$A$25:$A$34,$F216)=0,"Rep 1 not in Plan setup",IF(IF($H216="",FALSE,COUNTIF('Plan setup'!$A$25:$A$34,$H216)=0),"Rep 2 not in Plan setup",IF(COUNTIF('Plan setup'!$A$17:$A$21,$D216)=0,"Unknown deal type",IF($P216="Outside window","Clawback outside window: not reversed","OK"))))))</f>
        <v/>
      </c>
      <c r="S216">
        <f>AND(ISNUMBER($B216),OR($F216=Statement!$C$3,$H216=Statement!$C$3),OR(AND($B216&gt;=Statement!$C$6,$B216&lt;=Statement!$C$7),AND(ISNUMBER($Q216),$Q216&gt;=Statement!$C$6,$Q216&lt;=Statement!$C$7)))</f>
        <v/>
      </c>
      <c r="T216">
        <f>IF($S216,COUNTIF($S$2:$S216,TRUE),"")</f>
        <v/>
      </c>
      <c r="U216" s="17">
        <f>IF($F216=Statement!$C$3,$N216,0)+IF($H216=Statement!$C$3,$O216,0)</f>
        <v/>
      </c>
      <c r="V216" s="17">
        <f>IF(NOT($S216),0,IF(AND($B216&gt;=Statement!$C$6,$B216&lt;=Statement!$C$7),$U216,0)-IF(ISNUMBER($Q216),IF(AND($Q216&gt;=Statement!$C$6,$Q216&lt;=Statement!$C$7),$U216,0),0))</f>
        <v/>
      </c>
      <c r="W216" s="23">
        <f>IF($F216=Statement!$C$3,$G216,0)+IF($H216=Statement!$C$3,IF($I216="",0,$I216),0)</f>
        <v/>
      </c>
      <c r="X216">
        <f>IF(NOT($S216),"",IF(ISNUMBER($Q216),IF(AND($Q216&gt;=Statement!$C$6,$Q216&lt;=Statement!$C$7),"Clawback: credit reversed",""),"")&amp;IF(AND($B216&gt;=Statement!$C$6,$B216&lt;=Statement!$C$7,N($L216)&lt;1),"Partial credit: "&amp;TEXT($L216,"0%"),""))</f>
        <v/>
      </c>
    </row>
    <row r="217">
      <c r="A217" s="19" t="n"/>
      <c r="B217" s="20" t="n"/>
      <c r="C217" s="19" t="n"/>
      <c r="D217" s="19" t="n"/>
      <c r="E217" s="21" t="n"/>
      <c r="F217" s="19" t="n"/>
      <c r="G217" s="22" t="n"/>
      <c r="H217" s="19" t="n"/>
      <c r="I217" s="22" t="n"/>
      <c r="J217" s="20" t="n"/>
      <c r="K217" s="19" t="n"/>
      <c r="L217" s="23">
        <f>IF($E217="","",IFERROR(VLOOKUP($D217,'Plan setup'!$A$17:$B$21,2,FALSE),0))</f>
        <v/>
      </c>
      <c r="M217" s="17">
        <f>IF($E217="","",$E217*$L217)</f>
        <v/>
      </c>
      <c r="N217" s="17">
        <f>IF(OR($E217="",$F217=""),0,$M217*$G217)</f>
        <v/>
      </c>
      <c r="O217" s="17">
        <f>IF(OR($E217="",$H217=""),0,$M217*$I217)</f>
        <v/>
      </c>
      <c r="P217">
        <f>IF($J217="","",IF($J217-$B217&lt;='Plan setup'!$B$5,"Reversed","Outside window"))</f>
        <v/>
      </c>
      <c r="Q217" s="24">
        <f>IF($P217="Reversed",$J217,"")</f>
        <v/>
      </c>
      <c r="R217">
        <f>IF($E217="","",IF(ABS($G217+IF($I217="",0,$I217)-1)&gt;0.0001,"Splits must total 100%",IF(COUNTIF('Plan setup'!$A$25:$A$34,$F217)=0,"Rep 1 not in Plan setup",IF(IF($H217="",FALSE,COUNTIF('Plan setup'!$A$25:$A$34,$H217)=0),"Rep 2 not in Plan setup",IF(COUNTIF('Plan setup'!$A$17:$A$21,$D217)=0,"Unknown deal type",IF($P217="Outside window","Clawback outside window: not reversed","OK"))))))</f>
        <v/>
      </c>
      <c r="S217">
        <f>AND(ISNUMBER($B217),OR($F217=Statement!$C$3,$H217=Statement!$C$3),OR(AND($B217&gt;=Statement!$C$6,$B217&lt;=Statement!$C$7),AND(ISNUMBER($Q217),$Q217&gt;=Statement!$C$6,$Q217&lt;=Statement!$C$7)))</f>
        <v/>
      </c>
      <c r="T217">
        <f>IF($S217,COUNTIF($S$2:$S217,TRUE),"")</f>
        <v/>
      </c>
      <c r="U217" s="17">
        <f>IF($F217=Statement!$C$3,$N217,0)+IF($H217=Statement!$C$3,$O217,0)</f>
        <v/>
      </c>
      <c r="V217" s="17">
        <f>IF(NOT($S217),0,IF(AND($B217&gt;=Statement!$C$6,$B217&lt;=Statement!$C$7),$U217,0)-IF(ISNUMBER($Q217),IF(AND($Q217&gt;=Statement!$C$6,$Q217&lt;=Statement!$C$7),$U217,0),0))</f>
        <v/>
      </c>
      <c r="W217" s="23">
        <f>IF($F217=Statement!$C$3,$G217,0)+IF($H217=Statement!$C$3,IF($I217="",0,$I217),0)</f>
        <v/>
      </c>
      <c r="X217">
        <f>IF(NOT($S217),"",IF(ISNUMBER($Q217),IF(AND($Q217&gt;=Statement!$C$6,$Q217&lt;=Statement!$C$7),"Clawback: credit reversed",""),"")&amp;IF(AND($B217&gt;=Statement!$C$6,$B217&lt;=Statement!$C$7,N($L217)&lt;1),"Partial credit: "&amp;TEXT($L217,"0%"),""))</f>
        <v/>
      </c>
    </row>
    <row r="218">
      <c r="A218" s="19" t="n"/>
      <c r="B218" s="20" t="n"/>
      <c r="C218" s="19" t="n"/>
      <c r="D218" s="19" t="n"/>
      <c r="E218" s="21" t="n"/>
      <c r="F218" s="19" t="n"/>
      <c r="G218" s="22" t="n"/>
      <c r="H218" s="19" t="n"/>
      <c r="I218" s="22" t="n"/>
      <c r="J218" s="20" t="n"/>
      <c r="K218" s="19" t="n"/>
      <c r="L218" s="23">
        <f>IF($E218="","",IFERROR(VLOOKUP($D218,'Plan setup'!$A$17:$B$21,2,FALSE),0))</f>
        <v/>
      </c>
      <c r="M218" s="17">
        <f>IF($E218="","",$E218*$L218)</f>
        <v/>
      </c>
      <c r="N218" s="17">
        <f>IF(OR($E218="",$F218=""),0,$M218*$G218)</f>
        <v/>
      </c>
      <c r="O218" s="17">
        <f>IF(OR($E218="",$H218=""),0,$M218*$I218)</f>
        <v/>
      </c>
      <c r="P218">
        <f>IF($J218="","",IF($J218-$B218&lt;='Plan setup'!$B$5,"Reversed","Outside window"))</f>
        <v/>
      </c>
      <c r="Q218" s="24">
        <f>IF($P218="Reversed",$J218,"")</f>
        <v/>
      </c>
      <c r="R218">
        <f>IF($E218="","",IF(ABS($G218+IF($I218="",0,$I218)-1)&gt;0.0001,"Splits must total 100%",IF(COUNTIF('Plan setup'!$A$25:$A$34,$F218)=0,"Rep 1 not in Plan setup",IF(IF($H218="",FALSE,COUNTIF('Plan setup'!$A$25:$A$34,$H218)=0),"Rep 2 not in Plan setup",IF(COUNTIF('Plan setup'!$A$17:$A$21,$D218)=0,"Unknown deal type",IF($P218="Outside window","Clawback outside window: not reversed","OK"))))))</f>
        <v/>
      </c>
      <c r="S218">
        <f>AND(ISNUMBER($B218),OR($F218=Statement!$C$3,$H218=Statement!$C$3),OR(AND($B218&gt;=Statement!$C$6,$B218&lt;=Statement!$C$7),AND(ISNUMBER($Q218),$Q218&gt;=Statement!$C$6,$Q218&lt;=Statement!$C$7)))</f>
        <v/>
      </c>
      <c r="T218">
        <f>IF($S218,COUNTIF($S$2:$S218,TRUE),"")</f>
        <v/>
      </c>
      <c r="U218" s="17">
        <f>IF($F218=Statement!$C$3,$N218,0)+IF($H218=Statement!$C$3,$O218,0)</f>
        <v/>
      </c>
      <c r="V218" s="17">
        <f>IF(NOT($S218),0,IF(AND($B218&gt;=Statement!$C$6,$B218&lt;=Statement!$C$7),$U218,0)-IF(ISNUMBER($Q218),IF(AND($Q218&gt;=Statement!$C$6,$Q218&lt;=Statement!$C$7),$U218,0),0))</f>
        <v/>
      </c>
      <c r="W218" s="23">
        <f>IF($F218=Statement!$C$3,$G218,0)+IF($H218=Statement!$C$3,IF($I218="",0,$I218),0)</f>
        <v/>
      </c>
      <c r="X218">
        <f>IF(NOT($S218),"",IF(ISNUMBER($Q218),IF(AND($Q218&gt;=Statement!$C$6,$Q218&lt;=Statement!$C$7),"Clawback: credit reversed",""),"")&amp;IF(AND($B218&gt;=Statement!$C$6,$B218&lt;=Statement!$C$7,N($L218)&lt;1),"Partial credit: "&amp;TEXT($L218,"0%"),""))</f>
        <v/>
      </c>
    </row>
    <row r="219">
      <c r="A219" s="19" t="n"/>
      <c r="B219" s="20" t="n"/>
      <c r="C219" s="19" t="n"/>
      <c r="D219" s="19" t="n"/>
      <c r="E219" s="21" t="n"/>
      <c r="F219" s="19" t="n"/>
      <c r="G219" s="22" t="n"/>
      <c r="H219" s="19" t="n"/>
      <c r="I219" s="22" t="n"/>
      <c r="J219" s="20" t="n"/>
      <c r="K219" s="19" t="n"/>
      <c r="L219" s="23">
        <f>IF($E219="","",IFERROR(VLOOKUP($D219,'Plan setup'!$A$17:$B$21,2,FALSE),0))</f>
        <v/>
      </c>
      <c r="M219" s="17">
        <f>IF($E219="","",$E219*$L219)</f>
        <v/>
      </c>
      <c r="N219" s="17">
        <f>IF(OR($E219="",$F219=""),0,$M219*$G219)</f>
        <v/>
      </c>
      <c r="O219" s="17">
        <f>IF(OR($E219="",$H219=""),0,$M219*$I219)</f>
        <v/>
      </c>
      <c r="P219">
        <f>IF($J219="","",IF($J219-$B219&lt;='Plan setup'!$B$5,"Reversed","Outside window"))</f>
        <v/>
      </c>
      <c r="Q219" s="24">
        <f>IF($P219="Reversed",$J219,"")</f>
        <v/>
      </c>
      <c r="R219">
        <f>IF($E219="","",IF(ABS($G219+IF($I219="",0,$I219)-1)&gt;0.0001,"Splits must total 100%",IF(COUNTIF('Plan setup'!$A$25:$A$34,$F219)=0,"Rep 1 not in Plan setup",IF(IF($H219="",FALSE,COUNTIF('Plan setup'!$A$25:$A$34,$H219)=0),"Rep 2 not in Plan setup",IF(COUNTIF('Plan setup'!$A$17:$A$21,$D219)=0,"Unknown deal type",IF($P219="Outside window","Clawback outside window: not reversed","OK"))))))</f>
        <v/>
      </c>
      <c r="S219">
        <f>AND(ISNUMBER($B219),OR($F219=Statement!$C$3,$H219=Statement!$C$3),OR(AND($B219&gt;=Statement!$C$6,$B219&lt;=Statement!$C$7),AND(ISNUMBER($Q219),$Q219&gt;=Statement!$C$6,$Q219&lt;=Statement!$C$7)))</f>
        <v/>
      </c>
      <c r="T219">
        <f>IF($S219,COUNTIF($S$2:$S219,TRUE),"")</f>
        <v/>
      </c>
      <c r="U219" s="17">
        <f>IF($F219=Statement!$C$3,$N219,0)+IF($H219=Statement!$C$3,$O219,0)</f>
        <v/>
      </c>
      <c r="V219" s="17">
        <f>IF(NOT($S219),0,IF(AND($B219&gt;=Statement!$C$6,$B219&lt;=Statement!$C$7),$U219,0)-IF(ISNUMBER($Q219),IF(AND($Q219&gt;=Statement!$C$6,$Q219&lt;=Statement!$C$7),$U219,0),0))</f>
        <v/>
      </c>
      <c r="W219" s="23">
        <f>IF($F219=Statement!$C$3,$G219,0)+IF($H219=Statement!$C$3,IF($I219="",0,$I219),0)</f>
        <v/>
      </c>
      <c r="X219">
        <f>IF(NOT($S219),"",IF(ISNUMBER($Q219),IF(AND($Q219&gt;=Statement!$C$6,$Q219&lt;=Statement!$C$7),"Clawback: credit reversed",""),"")&amp;IF(AND($B219&gt;=Statement!$C$6,$B219&lt;=Statement!$C$7,N($L219)&lt;1),"Partial credit: "&amp;TEXT($L219,"0%"),""))</f>
        <v/>
      </c>
    </row>
    <row r="220">
      <c r="A220" s="19" t="n"/>
      <c r="B220" s="20" t="n"/>
      <c r="C220" s="19" t="n"/>
      <c r="D220" s="19" t="n"/>
      <c r="E220" s="21" t="n"/>
      <c r="F220" s="19" t="n"/>
      <c r="G220" s="22" t="n"/>
      <c r="H220" s="19" t="n"/>
      <c r="I220" s="22" t="n"/>
      <c r="J220" s="20" t="n"/>
      <c r="K220" s="19" t="n"/>
      <c r="L220" s="23">
        <f>IF($E220="","",IFERROR(VLOOKUP($D220,'Plan setup'!$A$17:$B$21,2,FALSE),0))</f>
        <v/>
      </c>
      <c r="M220" s="17">
        <f>IF($E220="","",$E220*$L220)</f>
        <v/>
      </c>
      <c r="N220" s="17">
        <f>IF(OR($E220="",$F220=""),0,$M220*$G220)</f>
        <v/>
      </c>
      <c r="O220" s="17">
        <f>IF(OR($E220="",$H220=""),0,$M220*$I220)</f>
        <v/>
      </c>
      <c r="P220">
        <f>IF($J220="","",IF($J220-$B220&lt;='Plan setup'!$B$5,"Reversed","Outside window"))</f>
        <v/>
      </c>
      <c r="Q220" s="24">
        <f>IF($P220="Reversed",$J220,"")</f>
        <v/>
      </c>
      <c r="R220">
        <f>IF($E220="","",IF(ABS($G220+IF($I220="",0,$I220)-1)&gt;0.0001,"Splits must total 100%",IF(COUNTIF('Plan setup'!$A$25:$A$34,$F220)=0,"Rep 1 not in Plan setup",IF(IF($H220="",FALSE,COUNTIF('Plan setup'!$A$25:$A$34,$H220)=0),"Rep 2 not in Plan setup",IF(COUNTIF('Plan setup'!$A$17:$A$21,$D220)=0,"Unknown deal type",IF($P220="Outside window","Clawback outside window: not reversed","OK"))))))</f>
        <v/>
      </c>
      <c r="S220">
        <f>AND(ISNUMBER($B220),OR($F220=Statement!$C$3,$H220=Statement!$C$3),OR(AND($B220&gt;=Statement!$C$6,$B220&lt;=Statement!$C$7),AND(ISNUMBER($Q220),$Q220&gt;=Statement!$C$6,$Q220&lt;=Statement!$C$7)))</f>
        <v/>
      </c>
      <c r="T220">
        <f>IF($S220,COUNTIF($S$2:$S220,TRUE),"")</f>
        <v/>
      </c>
      <c r="U220" s="17">
        <f>IF($F220=Statement!$C$3,$N220,0)+IF($H220=Statement!$C$3,$O220,0)</f>
        <v/>
      </c>
      <c r="V220" s="17">
        <f>IF(NOT($S220),0,IF(AND($B220&gt;=Statement!$C$6,$B220&lt;=Statement!$C$7),$U220,0)-IF(ISNUMBER($Q220),IF(AND($Q220&gt;=Statement!$C$6,$Q220&lt;=Statement!$C$7),$U220,0),0))</f>
        <v/>
      </c>
      <c r="W220" s="23">
        <f>IF($F220=Statement!$C$3,$G220,0)+IF($H220=Statement!$C$3,IF($I220="",0,$I220),0)</f>
        <v/>
      </c>
      <c r="X220">
        <f>IF(NOT($S220),"",IF(ISNUMBER($Q220),IF(AND($Q220&gt;=Statement!$C$6,$Q220&lt;=Statement!$C$7),"Clawback: credit reversed",""),"")&amp;IF(AND($B220&gt;=Statement!$C$6,$B220&lt;=Statement!$C$7,N($L220)&lt;1),"Partial credit: "&amp;TEXT($L220,"0%"),""))</f>
        <v/>
      </c>
    </row>
    <row r="221">
      <c r="A221" s="19" t="n"/>
      <c r="B221" s="20" t="n"/>
      <c r="C221" s="19" t="n"/>
      <c r="D221" s="19" t="n"/>
      <c r="E221" s="21" t="n"/>
      <c r="F221" s="19" t="n"/>
      <c r="G221" s="22" t="n"/>
      <c r="H221" s="19" t="n"/>
      <c r="I221" s="22" t="n"/>
      <c r="J221" s="20" t="n"/>
      <c r="K221" s="19" t="n"/>
      <c r="L221" s="23">
        <f>IF($E221="","",IFERROR(VLOOKUP($D221,'Plan setup'!$A$17:$B$21,2,FALSE),0))</f>
        <v/>
      </c>
      <c r="M221" s="17">
        <f>IF($E221="","",$E221*$L221)</f>
        <v/>
      </c>
      <c r="N221" s="17">
        <f>IF(OR($E221="",$F221=""),0,$M221*$G221)</f>
        <v/>
      </c>
      <c r="O221" s="17">
        <f>IF(OR($E221="",$H221=""),0,$M221*$I221)</f>
        <v/>
      </c>
      <c r="P221">
        <f>IF($J221="","",IF($J221-$B221&lt;='Plan setup'!$B$5,"Reversed","Outside window"))</f>
        <v/>
      </c>
      <c r="Q221" s="24">
        <f>IF($P221="Reversed",$J221,"")</f>
        <v/>
      </c>
      <c r="R221">
        <f>IF($E221="","",IF(ABS($G221+IF($I221="",0,$I221)-1)&gt;0.0001,"Splits must total 100%",IF(COUNTIF('Plan setup'!$A$25:$A$34,$F221)=0,"Rep 1 not in Plan setup",IF(IF($H221="",FALSE,COUNTIF('Plan setup'!$A$25:$A$34,$H221)=0),"Rep 2 not in Plan setup",IF(COUNTIF('Plan setup'!$A$17:$A$21,$D221)=0,"Unknown deal type",IF($P221="Outside window","Clawback outside window: not reversed","OK"))))))</f>
        <v/>
      </c>
      <c r="S221">
        <f>AND(ISNUMBER($B221),OR($F221=Statement!$C$3,$H221=Statement!$C$3),OR(AND($B221&gt;=Statement!$C$6,$B221&lt;=Statement!$C$7),AND(ISNUMBER($Q221),$Q221&gt;=Statement!$C$6,$Q221&lt;=Statement!$C$7)))</f>
        <v/>
      </c>
      <c r="T221">
        <f>IF($S221,COUNTIF($S$2:$S221,TRUE),"")</f>
        <v/>
      </c>
      <c r="U221" s="17">
        <f>IF($F221=Statement!$C$3,$N221,0)+IF($H221=Statement!$C$3,$O221,0)</f>
        <v/>
      </c>
      <c r="V221" s="17">
        <f>IF(NOT($S221),0,IF(AND($B221&gt;=Statement!$C$6,$B221&lt;=Statement!$C$7),$U221,0)-IF(ISNUMBER($Q221),IF(AND($Q221&gt;=Statement!$C$6,$Q221&lt;=Statement!$C$7),$U221,0),0))</f>
        <v/>
      </c>
      <c r="W221" s="23">
        <f>IF($F221=Statement!$C$3,$G221,0)+IF($H221=Statement!$C$3,IF($I221="",0,$I221),0)</f>
        <v/>
      </c>
      <c r="X221">
        <f>IF(NOT($S221),"",IF(ISNUMBER($Q221),IF(AND($Q221&gt;=Statement!$C$6,$Q221&lt;=Statement!$C$7),"Clawback: credit reversed",""),"")&amp;IF(AND($B221&gt;=Statement!$C$6,$B221&lt;=Statement!$C$7,N($L221)&lt;1),"Partial credit: "&amp;TEXT($L221,"0%"),""))</f>
        <v/>
      </c>
    </row>
    <row r="222">
      <c r="A222" s="19" t="n"/>
      <c r="B222" s="20" t="n"/>
      <c r="C222" s="19" t="n"/>
      <c r="D222" s="19" t="n"/>
      <c r="E222" s="21" t="n"/>
      <c r="F222" s="19" t="n"/>
      <c r="G222" s="22" t="n"/>
      <c r="H222" s="19" t="n"/>
      <c r="I222" s="22" t="n"/>
      <c r="J222" s="20" t="n"/>
      <c r="K222" s="19" t="n"/>
      <c r="L222" s="23">
        <f>IF($E222="","",IFERROR(VLOOKUP($D222,'Plan setup'!$A$17:$B$21,2,FALSE),0))</f>
        <v/>
      </c>
      <c r="M222" s="17">
        <f>IF($E222="","",$E222*$L222)</f>
        <v/>
      </c>
      <c r="N222" s="17">
        <f>IF(OR($E222="",$F222=""),0,$M222*$G222)</f>
        <v/>
      </c>
      <c r="O222" s="17">
        <f>IF(OR($E222="",$H222=""),0,$M222*$I222)</f>
        <v/>
      </c>
      <c r="P222">
        <f>IF($J222="","",IF($J222-$B222&lt;='Plan setup'!$B$5,"Reversed","Outside window"))</f>
        <v/>
      </c>
      <c r="Q222" s="24">
        <f>IF($P222="Reversed",$J222,"")</f>
        <v/>
      </c>
      <c r="R222">
        <f>IF($E222="","",IF(ABS($G222+IF($I222="",0,$I222)-1)&gt;0.0001,"Splits must total 100%",IF(COUNTIF('Plan setup'!$A$25:$A$34,$F222)=0,"Rep 1 not in Plan setup",IF(IF($H222="",FALSE,COUNTIF('Plan setup'!$A$25:$A$34,$H222)=0),"Rep 2 not in Plan setup",IF(COUNTIF('Plan setup'!$A$17:$A$21,$D222)=0,"Unknown deal type",IF($P222="Outside window","Clawback outside window: not reversed","OK"))))))</f>
        <v/>
      </c>
      <c r="S222">
        <f>AND(ISNUMBER($B222),OR($F222=Statement!$C$3,$H222=Statement!$C$3),OR(AND($B222&gt;=Statement!$C$6,$B222&lt;=Statement!$C$7),AND(ISNUMBER($Q222),$Q222&gt;=Statement!$C$6,$Q222&lt;=Statement!$C$7)))</f>
        <v/>
      </c>
      <c r="T222">
        <f>IF($S222,COUNTIF($S$2:$S222,TRUE),"")</f>
        <v/>
      </c>
      <c r="U222" s="17">
        <f>IF($F222=Statement!$C$3,$N222,0)+IF($H222=Statement!$C$3,$O222,0)</f>
        <v/>
      </c>
      <c r="V222" s="17">
        <f>IF(NOT($S222),0,IF(AND($B222&gt;=Statement!$C$6,$B222&lt;=Statement!$C$7),$U222,0)-IF(ISNUMBER($Q222),IF(AND($Q222&gt;=Statement!$C$6,$Q222&lt;=Statement!$C$7),$U222,0),0))</f>
        <v/>
      </c>
      <c r="W222" s="23">
        <f>IF($F222=Statement!$C$3,$G222,0)+IF($H222=Statement!$C$3,IF($I222="",0,$I222),0)</f>
        <v/>
      </c>
      <c r="X222">
        <f>IF(NOT($S222),"",IF(ISNUMBER($Q222),IF(AND($Q222&gt;=Statement!$C$6,$Q222&lt;=Statement!$C$7),"Clawback: credit reversed",""),"")&amp;IF(AND($B222&gt;=Statement!$C$6,$B222&lt;=Statement!$C$7,N($L222)&lt;1),"Partial credit: "&amp;TEXT($L222,"0%"),""))</f>
        <v/>
      </c>
    </row>
    <row r="223">
      <c r="A223" s="19" t="n"/>
      <c r="B223" s="20" t="n"/>
      <c r="C223" s="19" t="n"/>
      <c r="D223" s="19" t="n"/>
      <c r="E223" s="21" t="n"/>
      <c r="F223" s="19" t="n"/>
      <c r="G223" s="22" t="n"/>
      <c r="H223" s="19" t="n"/>
      <c r="I223" s="22" t="n"/>
      <c r="J223" s="20" t="n"/>
      <c r="K223" s="19" t="n"/>
      <c r="L223" s="23">
        <f>IF($E223="","",IFERROR(VLOOKUP($D223,'Plan setup'!$A$17:$B$21,2,FALSE),0))</f>
        <v/>
      </c>
      <c r="M223" s="17">
        <f>IF($E223="","",$E223*$L223)</f>
        <v/>
      </c>
      <c r="N223" s="17">
        <f>IF(OR($E223="",$F223=""),0,$M223*$G223)</f>
        <v/>
      </c>
      <c r="O223" s="17">
        <f>IF(OR($E223="",$H223=""),0,$M223*$I223)</f>
        <v/>
      </c>
      <c r="P223">
        <f>IF($J223="","",IF($J223-$B223&lt;='Plan setup'!$B$5,"Reversed","Outside window"))</f>
        <v/>
      </c>
      <c r="Q223" s="24">
        <f>IF($P223="Reversed",$J223,"")</f>
        <v/>
      </c>
      <c r="R223">
        <f>IF($E223="","",IF(ABS($G223+IF($I223="",0,$I223)-1)&gt;0.0001,"Splits must total 100%",IF(COUNTIF('Plan setup'!$A$25:$A$34,$F223)=0,"Rep 1 not in Plan setup",IF(IF($H223="",FALSE,COUNTIF('Plan setup'!$A$25:$A$34,$H223)=0),"Rep 2 not in Plan setup",IF(COUNTIF('Plan setup'!$A$17:$A$21,$D223)=0,"Unknown deal type",IF($P223="Outside window","Clawback outside window: not reversed","OK"))))))</f>
        <v/>
      </c>
      <c r="S223">
        <f>AND(ISNUMBER($B223),OR($F223=Statement!$C$3,$H223=Statement!$C$3),OR(AND($B223&gt;=Statement!$C$6,$B223&lt;=Statement!$C$7),AND(ISNUMBER($Q223),$Q223&gt;=Statement!$C$6,$Q223&lt;=Statement!$C$7)))</f>
        <v/>
      </c>
      <c r="T223">
        <f>IF($S223,COUNTIF($S$2:$S223,TRUE),"")</f>
        <v/>
      </c>
      <c r="U223" s="17">
        <f>IF($F223=Statement!$C$3,$N223,0)+IF($H223=Statement!$C$3,$O223,0)</f>
        <v/>
      </c>
      <c r="V223" s="17">
        <f>IF(NOT($S223),0,IF(AND($B223&gt;=Statement!$C$6,$B223&lt;=Statement!$C$7),$U223,0)-IF(ISNUMBER($Q223),IF(AND($Q223&gt;=Statement!$C$6,$Q223&lt;=Statement!$C$7),$U223,0),0))</f>
        <v/>
      </c>
      <c r="W223" s="23">
        <f>IF($F223=Statement!$C$3,$G223,0)+IF($H223=Statement!$C$3,IF($I223="",0,$I223),0)</f>
        <v/>
      </c>
      <c r="X223">
        <f>IF(NOT($S223),"",IF(ISNUMBER($Q223),IF(AND($Q223&gt;=Statement!$C$6,$Q223&lt;=Statement!$C$7),"Clawback: credit reversed",""),"")&amp;IF(AND($B223&gt;=Statement!$C$6,$B223&lt;=Statement!$C$7,N($L223)&lt;1),"Partial credit: "&amp;TEXT($L223,"0%"),""))</f>
        <v/>
      </c>
    </row>
    <row r="224">
      <c r="A224" s="19" t="n"/>
      <c r="B224" s="20" t="n"/>
      <c r="C224" s="19" t="n"/>
      <c r="D224" s="19" t="n"/>
      <c r="E224" s="21" t="n"/>
      <c r="F224" s="19" t="n"/>
      <c r="G224" s="22" t="n"/>
      <c r="H224" s="19" t="n"/>
      <c r="I224" s="22" t="n"/>
      <c r="J224" s="20" t="n"/>
      <c r="K224" s="19" t="n"/>
      <c r="L224" s="23">
        <f>IF($E224="","",IFERROR(VLOOKUP($D224,'Plan setup'!$A$17:$B$21,2,FALSE),0))</f>
        <v/>
      </c>
      <c r="M224" s="17">
        <f>IF($E224="","",$E224*$L224)</f>
        <v/>
      </c>
      <c r="N224" s="17">
        <f>IF(OR($E224="",$F224=""),0,$M224*$G224)</f>
        <v/>
      </c>
      <c r="O224" s="17">
        <f>IF(OR($E224="",$H224=""),0,$M224*$I224)</f>
        <v/>
      </c>
      <c r="P224">
        <f>IF($J224="","",IF($J224-$B224&lt;='Plan setup'!$B$5,"Reversed","Outside window"))</f>
        <v/>
      </c>
      <c r="Q224" s="24">
        <f>IF($P224="Reversed",$J224,"")</f>
        <v/>
      </c>
      <c r="R224">
        <f>IF($E224="","",IF(ABS($G224+IF($I224="",0,$I224)-1)&gt;0.0001,"Splits must total 100%",IF(COUNTIF('Plan setup'!$A$25:$A$34,$F224)=0,"Rep 1 not in Plan setup",IF(IF($H224="",FALSE,COUNTIF('Plan setup'!$A$25:$A$34,$H224)=0),"Rep 2 not in Plan setup",IF(COUNTIF('Plan setup'!$A$17:$A$21,$D224)=0,"Unknown deal type",IF($P224="Outside window","Clawback outside window: not reversed","OK"))))))</f>
        <v/>
      </c>
      <c r="S224">
        <f>AND(ISNUMBER($B224),OR($F224=Statement!$C$3,$H224=Statement!$C$3),OR(AND($B224&gt;=Statement!$C$6,$B224&lt;=Statement!$C$7),AND(ISNUMBER($Q224),$Q224&gt;=Statement!$C$6,$Q224&lt;=Statement!$C$7)))</f>
        <v/>
      </c>
      <c r="T224">
        <f>IF($S224,COUNTIF($S$2:$S224,TRUE),"")</f>
        <v/>
      </c>
      <c r="U224" s="17">
        <f>IF($F224=Statement!$C$3,$N224,0)+IF($H224=Statement!$C$3,$O224,0)</f>
        <v/>
      </c>
      <c r="V224" s="17">
        <f>IF(NOT($S224),0,IF(AND($B224&gt;=Statement!$C$6,$B224&lt;=Statement!$C$7),$U224,0)-IF(ISNUMBER($Q224),IF(AND($Q224&gt;=Statement!$C$6,$Q224&lt;=Statement!$C$7),$U224,0),0))</f>
        <v/>
      </c>
      <c r="W224" s="23">
        <f>IF($F224=Statement!$C$3,$G224,0)+IF($H224=Statement!$C$3,IF($I224="",0,$I224),0)</f>
        <v/>
      </c>
      <c r="X224">
        <f>IF(NOT($S224),"",IF(ISNUMBER($Q224),IF(AND($Q224&gt;=Statement!$C$6,$Q224&lt;=Statement!$C$7),"Clawback: credit reversed",""),"")&amp;IF(AND($B224&gt;=Statement!$C$6,$B224&lt;=Statement!$C$7,N($L224)&lt;1),"Partial credit: "&amp;TEXT($L224,"0%"),""))</f>
        <v/>
      </c>
    </row>
    <row r="225">
      <c r="A225" s="19" t="n"/>
      <c r="B225" s="20" t="n"/>
      <c r="C225" s="19" t="n"/>
      <c r="D225" s="19" t="n"/>
      <c r="E225" s="21" t="n"/>
      <c r="F225" s="19" t="n"/>
      <c r="G225" s="22" t="n"/>
      <c r="H225" s="19" t="n"/>
      <c r="I225" s="22" t="n"/>
      <c r="J225" s="20" t="n"/>
      <c r="K225" s="19" t="n"/>
      <c r="L225" s="23">
        <f>IF($E225="","",IFERROR(VLOOKUP($D225,'Plan setup'!$A$17:$B$21,2,FALSE),0))</f>
        <v/>
      </c>
      <c r="M225" s="17">
        <f>IF($E225="","",$E225*$L225)</f>
        <v/>
      </c>
      <c r="N225" s="17">
        <f>IF(OR($E225="",$F225=""),0,$M225*$G225)</f>
        <v/>
      </c>
      <c r="O225" s="17">
        <f>IF(OR($E225="",$H225=""),0,$M225*$I225)</f>
        <v/>
      </c>
      <c r="P225">
        <f>IF($J225="","",IF($J225-$B225&lt;='Plan setup'!$B$5,"Reversed","Outside window"))</f>
        <v/>
      </c>
      <c r="Q225" s="24">
        <f>IF($P225="Reversed",$J225,"")</f>
        <v/>
      </c>
      <c r="R225">
        <f>IF($E225="","",IF(ABS($G225+IF($I225="",0,$I225)-1)&gt;0.0001,"Splits must total 100%",IF(COUNTIF('Plan setup'!$A$25:$A$34,$F225)=0,"Rep 1 not in Plan setup",IF(IF($H225="",FALSE,COUNTIF('Plan setup'!$A$25:$A$34,$H225)=0),"Rep 2 not in Plan setup",IF(COUNTIF('Plan setup'!$A$17:$A$21,$D225)=0,"Unknown deal type",IF($P225="Outside window","Clawback outside window: not reversed","OK"))))))</f>
        <v/>
      </c>
      <c r="S225">
        <f>AND(ISNUMBER($B225),OR($F225=Statement!$C$3,$H225=Statement!$C$3),OR(AND($B225&gt;=Statement!$C$6,$B225&lt;=Statement!$C$7),AND(ISNUMBER($Q225),$Q225&gt;=Statement!$C$6,$Q225&lt;=Statement!$C$7)))</f>
        <v/>
      </c>
      <c r="T225">
        <f>IF($S225,COUNTIF($S$2:$S225,TRUE),"")</f>
        <v/>
      </c>
      <c r="U225" s="17">
        <f>IF($F225=Statement!$C$3,$N225,0)+IF($H225=Statement!$C$3,$O225,0)</f>
        <v/>
      </c>
      <c r="V225" s="17">
        <f>IF(NOT($S225),0,IF(AND($B225&gt;=Statement!$C$6,$B225&lt;=Statement!$C$7),$U225,0)-IF(ISNUMBER($Q225),IF(AND($Q225&gt;=Statement!$C$6,$Q225&lt;=Statement!$C$7),$U225,0),0))</f>
        <v/>
      </c>
      <c r="W225" s="23">
        <f>IF($F225=Statement!$C$3,$G225,0)+IF($H225=Statement!$C$3,IF($I225="",0,$I225),0)</f>
        <v/>
      </c>
      <c r="X225">
        <f>IF(NOT($S225),"",IF(ISNUMBER($Q225),IF(AND($Q225&gt;=Statement!$C$6,$Q225&lt;=Statement!$C$7),"Clawback: credit reversed",""),"")&amp;IF(AND($B225&gt;=Statement!$C$6,$B225&lt;=Statement!$C$7,N($L225)&lt;1),"Partial credit: "&amp;TEXT($L225,"0%"),""))</f>
        <v/>
      </c>
    </row>
    <row r="226">
      <c r="A226" s="19" t="n"/>
      <c r="B226" s="20" t="n"/>
      <c r="C226" s="19" t="n"/>
      <c r="D226" s="19" t="n"/>
      <c r="E226" s="21" t="n"/>
      <c r="F226" s="19" t="n"/>
      <c r="G226" s="22" t="n"/>
      <c r="H226" s="19" t="n"/>
      <c r="I226" s="22" t="n"/>
      <c r="J226" s="20" t="n"/>
      <c r="K226" s="19" t="n"/>
      <c r="L226" s="23">
        <f>IF($E226="","",IFERROR(VLOOKUP($D226,'Plan setup'!$A$17:$B$21,2,FALSE),0))</f>
        <v/>
      </c>
      <c r="M226" s="17">
        <f>IF($E226="","",$E226*$L226)</f>
        <v/>
      </c>
      <c r="N226" s="17">
        <f>IF(OR($E226="",$F226=""),0,$M226*$G226)</f>
        <v/>
      </c>
      <c r="O226" s="17">
        <f>IF(OR($E226="",$H226=""),0,$M226*$I226)</f>
        <v/>
      </c>
      <c r="P226">
        <f>IF($J226="","",IF($J226-$B226&lt;='Plan setup'!$B$5,"Reversed","Outside window"))</f>
        <v/>
      </c>
      <c r="Q226" s="24">
        <f>IF($P226="Reversed",$J226,"")</f>
        <v/>
      </c>
      <c r="R226">
        <f>IF($E226="","",IF(ABS($G226+IF($I226="",0,$I226)-1)&gt;0.0001,"Splits must total 100%",IF(COUNTIF('Plan setup'!$A$25:$A$34,$F226)=0,"Rep 1 not in Plan setup",IF(IF($H226="",FALSE,COUNTIF('Plan setup'!$A$25:$A$34,$H226)=0),"Rep 2 not in Plan setup",IF(COUNTIF('Plan setup'!$A$17:$A$21,$D226)=0,"Unknown deal type",IF($P226="Outside window","Clawback outside window: not reversed","OK"))))))</f>
        <v/>
      </c>
      <c r="S226">
        <f>AND(ISNUMBER($B226),OR($F226=Statement!$C$3,$H226=Statement!$C$3),OR(AND($B226&gt;=Statement!$C$6,$B226&lt;=Statement!$C$7),AND(ISNUMBER($Q226),$Q226&gt;=Statement!$C$6,$Q226&lt;=Statement!$C$7)))</f>
        <v/>
      </c>
      <c r="T226">
        <f>IF($S226,COUNTIF($S$2:$S226,TRUE),"")</f>
        <v/>
      </c>
      <c r="U226" s="17">
        <f>IF($F226=Statement!$C$3,$N226,0)+IF($H226=Statement!$C$3,$O226,0)</f>
        <v/>
      </c>
      <c r="V226" s="17">
        <f>IF(NOT($S226),0,IF(AND($B226&gt;=Statement!$C$6,$B226&lt;=Statement!$C$7),$U226,0)-IF(ISNUMBER($Q226),IF(AND($Q226&gt;=Statement!$C$6,$Q226&lt;=Statement!$C$7),$U226,0),0))</f>
        <v/>
      </c>
      <c r="W226" s="23">
        <f>IF($F226=Statement!$C$3,$G226,0)+IF($H226=Statement!$C$3,IF($I226="",0,$I226),0)</f>
        <v/>
      </c>
      <c r="X226">
        <f>IF(NOT($S226),"",IF(ISNUMBER($Q226),IF(AND($Q226&gt;=Statement!$C$6,$Q226&lt;=Statement!$C$7),"Clawback: credit reversed",""),"")&amp;IF(AND($B226&gt;=Statement!$C$6,$B226&lt;=Statement!$C$7,N($L226)&lt;1),"Partial credit: "&amp;TEXT($L226,"0%"),""))</f>
        <v/>
      </c>
    </row>
    <row r="227">
      <c r="A227" s="19" t="n"/>
      <c r="B227" s="20" t="n"/>
      <c r="C227" s="19" t="n"/>
      <c r="D227" s="19" t="n"/>
      <c r="E227" s="21" t="n"/>
      <c r="F227" s="19" t="n"/>
      <c r="G227" s="22" t="n"/>
      <c r="H227" s="19" t="n"/>
      <c r="I227" s="22" t="n"/>
      <c r="J227" s="20" t="n"/>
      <c r="K227" s="19" t="n"/>
      <c r="L227" s="23">
        <f>IF($E227="","",IFERROR(VLOOKUP($D227,'Plan setup'!$A$17:$B$21,2,FALSE),0))</f>
        <v/>
      </c>
      <c r="M227" s="17">
        <f>IF($E227="","",$E227*$L227)</f>
        <v/>
      </c>
      <c r="N227" s="17">
        <f>IF(OR($E227="",$F227=""),0,$M227*$G227)</f>
        <v/>
      </c>
      <c r="O227" s="17">
        <f>IF(OR($E227="",$H227=""),0,$M227*$I227)</f>
        <v/>
      </c>
      <c r="P227">
        <f>IF($J227="","",IF($J227-$B227&lt;='Plan setup'!$B$5,"Reversed","Outside window"))</f>
        <v/>
      </c>
      <c r="Q227" s="24">
        <f>IF($P227="Reversed",$J227,"")</f>
        <v/>
      </c>
      <c r="R227">
        <f>IF($E227="","",IF(ABS($G227+IF($I227="",0,$I227)-1)&gt;0.0001,"Splits must total 100%",IF(COUNTIF('Plan setup'!$A$25:$A$34,$F227)=0,"Rep 1 not in Plan setup",IF(IF($H227="",FALSE,COUNTIF('Plan setup'!$A$25:$A$34,$H227)=0),"Rep 2 not in Plan setup",IF(COUNTIF('Plan setup'!$A$17:$A$21,$D227)=0,"Unknown deal type",IF($P227="Outside window","Clawback outside window: not reversed","OK"))))))</f>
        <v/>
      </c>
      <c r="S227">
        <f>AND(ISNUMBER($B227),OR($F227=Statement!$C$3,$H227=Statement!$C$3),OR(AND($B227&gt;=Statement!$C$6,$B227&lt;=Statement!$C$7),AND(ISNUMBER($Q227),$Q227&gt;=Statement!$C$6,$Q227&lt;=Statement!$C$7)))</f>
        <v/>
      </c>
      <c r="T227">
        <f>IF($S227,COUNTIF($S$2:$S227,TRUE),"")</f>
        <v/>
      </c>
      <c r="U227" s="17">
        <f>IF($F227=Statement!$C$3,$N227,0)+IF($H227=Statement!$C$3,$O227,0)</f>
        <v/>
      </c>
      <c r="V227" s="17">
        <f>IF(NOT($S227),0,IF(AND($B227&gt;=Statement!$C$6,$B227&lt;=Statement!$C$7),$U227,0)-IF(ISNUMBER($Q227),IF(AND($Q227&gt;=Statement!$C$6,$Q227&lt;=Statement!$C$7),$U227,0),0))</f>
        <v/>
      </c>
      <c r="W227" s="23">
        <f>IF($F227=Statement!$C$3,$G227,0)+IF($H227=Statement!$C$3,IF($I227="",0,$I227),0)</f>
        <v/>
      </c>
      <c r="X227">
        <f>IF(NOT($S227),"",IF(ISNUMBER($Q227),IF(AND($Q227&gt;=Statement!$C$6,$Q227&lt;=Statement!$C$7),"Clawback: credit reversed",""),"")&amp;IF(AND($B227&gt;=Statement!$C$6,$B227&lt;=Statement!$C$7,N($L227)&lt;1),"Partial credit: "&amp;TEXT($L227,"0%"),""))</f>
        <v/>
      </c>
    </row>
    <row r="228">
      <c r="A228" s="19" t="n"/>
      <c r="B228" s="20" t="n"/>
      <c r="C228" s="19" t="n"/>
      <c r="D228" s="19" t="n"/>
      <c r="E228" s="21" t="n"/>
      <c r="F228" s="19" t="n"/>
      <c r="G228" s="22" t="n"/>
      <c r="H228" s="19" t="n"/>
      <c r="I228" s="22" t="n"/>
      <c r="J228" s="20" t="n"/>
      <c r="K228" s="19" t="n"/>
      <c r="L228" s="23">
        <f>IF($E228="","",IFERROR(VLOOKUP($D228,'Plan setup'!$A$17:$B$21,2,FALSE),0))</f>
        <v/>
      </c>
      <c r="M228" s="17">
        <f>IF($E228="","",$E228*$L228)</f>
        <v/>
      </c>
      <c r="N228" s="17">
        <f>IF(OR($E228="",$F228=""),0,$M228*$G228)</f>
        <v/>
      </c>
      <c r="O228" s="17">
        <f>IF(OR($E228="",$H228=""),0,$M228*$I228)</f>
        <v/>
      </c>
      <c r="P228">
        <f>IF($J228="","",IF($J228-$B228&lt;='Plan setup'!$B$5,"Reversed","Outside window"))</f>
        <v/>
      </c>
      <c r="Q228" s="24">
        <f>IF($P228="Reversed",$J228,"")</f>
        <v/>
      </c>
      <c r="R228">
        <f>IF($E228="","",IF(ABS($G228+IF($I228="",0,$I228)-1)&gt;0.0001,"Splits must total 100%",IF(COUNTIF('Plan setup'!$A$25:$A$34,$F228)=0,"Rep 1 not in Plan setup",IF(IF($H228="",FALSE,COUNTIF('Plan setup'!$A$25:$A$34,$H228)=0),"Rep 2 not in Plan setup",IF(COUNTIF('Plan setup'!$A$17:$A$21,$D228)=0,"Unknown deal type",IF($P228="Outside window","Clawback outside window: not reversed","OK"))))))</f>
        <v/>
      </c>
      <c r="S228">
        <f>AND(ISNUMBER($B228),OR($F228=Statement!$C$3,$H228=Statement!$C$3),OR(AND($B228&gt;=Statement!$C$6,$B228&lt;=Statement!$C$7),AND(ISNUMBER($Q228),$Q228&gt;=Statement!$C$6,$Q228&lt;=Statement!$C$7)))</f>
        <v/>
      </c>
      <c r="T228">
        <f>IF($S228,COUNTIF($S$2:$S228,TRUE),"")</f>
        <v/>
      </c>
      <c r="U228" s="17">
        <f>IF($F228=Statement!$C$3,$N228,0)+IF($H228=Statement!$C$3,$O228,0)</f>
        <v/>
      </c>
      <c r="V228" s="17">
        <f>IF(NOT($S228),0,IF(AND($B228&gt;=Statement!$C$6,$B228&lt;=Statement!$C$7),$U228,0)-IF(ISNUMBER($Q228),IF(AND($Q228&gt;=Statement!$C$6,$Q228&lt;=Statement!$C$7),$U228,0),0))</f>
        <v/>
      </c>
      <c r="W228" s="23">
        <f>IF($F228=Statement!$C$3,$G228,0)+IF($H228=Statement!$C$3,IF($I228="",0,$I228),0)</f>
        <v/>
      </c>
      <c r="X228">
        <f>IF(NOT($S228),"",IF(ISNUMBER($Q228),IF(AND($Q228&gt;=Statement!$C$6,$Q228&lt;=Statement!$C$7),"Clawback: credit reversed",""),"")&amp;IF(AND($B228&gt;=Statement!$C$6,$B228&lt;=Statement!$C$7,N($L228)&lt;1),"Partial credit: "&amp;TEXT($L228,"0%"),""))</f>
        <v/>
      </c>
    </row>
    <row r="229">
      <c r="A229" s="19" t="n"/>
      <c r="B229" s="20" t="n"/>
      <c r="C229" s="19" t="n"/>
      <c r="D229" s="19" t="n"/>
      <c r="E229" s="21" t="n"/>
      <c r="F229" s="19" t="n"/>
      <c r="G229" s="22" t="n"/>
      <c r="H229" s="19" t="n"/>
      <c r="I229" s="22" t="n"/>
      <c r="J229" s="20" t="n"/>
      <c r="K229" s="19" t="n"/>
      <c r="L229" s="23">
        <f>IF($E229="","",IFERROR(VLOOKUP($D229,'Plan setup'!$A$17:$B$21,2,FALSE),0))</f>
        <v/>
      </c>
      <c r="M229" s="17">
        <f>IF($E229="","",$E229*$L229)</f>
        <v/>
      </c>
      <c r="N229" s="17">
        <f>IF(OR($E229="",$F229=""),0,$M229*$G229)</f>
        <v/>
      </c>
      <c r="O229" s="17">
        <f>IF(OR($E229="",$H229=""),0,$M229*$I229)</f>
        <v/>
      </c>
      <c r="P229">
        <f>IF($J229="","",IF($J229-$B229&lt;='Plan setup'!$B$5,"Reversed","Outside window"))</f>
        <v/>
      </c>
      <c r="Q229" s="24">
        <f>IF($P229="Reversed",$J229,"")</f>
        <v/>
      </c>
      <c r="R229">
        <f>IF($E229="","",IF(ABS($G229+IF($I229="",0,$I229)-1)&gt;0.0001,"Splits must total 100%",IF(COUNTIF('Plan setup'!$A$25:$A$34,$F229)=0,"Rep 1 not in Plan setup",IF(IF($H229="",FALSE,COUNTIF('Plan setup'!$A$25:$A$34,$H229)=0),"Rep 2 not in Plan setup",IF(COUNTIF('Plan setup'!$A$17:$A$21,$D229)=0,"Unknown deal type",IF($P229="Outside window","Clawback outside window: not reversed","OK"))))))</f>
        <v/>
      </c>
      <c r="S229">
        <f>AND(ISNUMBER($B229),OR($F229=Statement!$C$3,$H229=Statement!$C$3),OR(AND($B229&gt;=Statement!$C$6,$B229&lt;=Statement!$C$7),AND(ISNUMBER($Q229),$Q229&gt;=Statement!$C$6,$Q229&lt;=Statement!$C$7)))</f>
        <v/>
      </c>
      <c r="T229">
        <f>IF($S229,COUNTIF($S$2:$S229,TRUE),"")</f>
        <v/>
      </c>
      <c r="U229" s="17">
        <f>IF($F229=Statement!$C$3,$N229,0)+IF($H229=Statement!$C$3,$O229,0)</f>
        <v/>
      </c>
      <c r="V229" s="17">
        <f>IF(NOT($S229),0,IF(AND($B229&gt;=Statement!$C$6,$B229&lt;=Statement!$C$7),$U229,0)-IF(ISNUMBER($Q229),IF(AND($Q229&gt;=Statement!$C$6,$Q229&lt;=Statement!$C$7),$U229,0),0))</f>
        <v/>
      </c>
      <c r="W229" s="23">
        <f>IF($F229=Statement!$C$3,$G229,0)+IF($H229=Statement!$C$3,IF($I229="",0,$I229),0)</f>
        <v/>
      </c>
      <c r="X229">
        <f>IF(NOT($S229),"",IF(ISNUMBER($Q229),IF(AND($Q229&gt;=Statement!$C$6,$Q229&lt;=Statement!$C$7),"Clawback: credit reversed",""),"")&amp;IF(AND($B229&gt;=Statement!$C$6,$B229&lt;=Statement!$C$7,N($L229)&lt;1),"Partial credit: "&amp;TEXT($L229,"0%"),""))</f>
        <v/>
      </c>
    </row>
    <row r="230">
      <c r="A230" s="19" t="n"/>
      <c r="B230" s="20" t="n"/>
      <c r="C230" s="19" t="n"/>
      <c r="D230" s="19" t="n"/>
      <c r="E230" s="21" t="n"/>
      <c r="F230" s="19" t="n"/>
      <c r="G230" s="22" t="n"/>
      <c r="H230" s="19" t="n"/>
      <c r="I230" s="22" t="n"/>
      <c r="J230" s="20" t="n"/>
      <c r="K230" s="19" t="n"/>
      <c r="L230" s="23">
        <f>IF($E230="","",IFERROR(VLOOKUP($D230,'Plan setup'!$A$17:$B$21,2,FALSE),0))</f>
        <v/>
      </c>
      <c r="M230" s="17">
        <f>IF($E230="","",$E230*$L230)</f>
        <v/>
      </c>
      <c r="N230" s="17">
        <f>IF(OR($E230="",$F230=""),0,$M230*$G230)</f>
        <v/>
      </c>
      <c r="O230" s="17">
        <f>IF(OR($E230="",$H230=""),0,$M230*$I230)</f>
        <v/>
      </c>
      <c r="P230">
        <f>IF($J230="","",IF($J230-$B230&lt;='Plan setup'!$B$5,"Reversed","Outside window"))</f>
        <v/>
      </c>
      <c r="Q230" s="24">
        <f>IF($P230="Reversed",$J230,"")</f>
        <v/>
      </c>
      <c r="R230">
        <f>IF($E230="","",IF(ABS($G230+IF($I230="",0,$I230)-1)&gt;0.0001,"Splits must total 100%",IF(COUNTIF('Plan setup'!$A$25:$A$34,$F230)=0,"Rep 1 not in Plan setup",IF(IF($H230="",FALSE,COUNTIF('Plan setup'!$A$25:$A$34,$H230)=0),"Rep 2 not in Plan setup",IF(COUNTIF('Plan setup'!$A$17:$A$21,$D230)=0,"Unknown deal type",IF($P230="Outside window","Clawback outside window: not reversed","OK"))))))</f>
        <v/>
      </c>
      <c r="S230">
        <f>AND(ISNUMBER($B230),OR($F230=Statement!$C$3,$H230=Statement!$C$3),OR(AND($B230&gt;=Statement!$C$6,$B230&lt;=Statement!$C$7),AND(ISNUMBER($Q230),$Q230&gt;=Statement!$C$6,$Q230&lt;=Statement!$C$7)))</f>
        <v/>
      </c>
      <c r="T230">
        <f>IF($S230,COUNTIF($S$2:$S230,TRUE),"")</f>
        <v/>
      </c>
      <c r="U230" s="17">
        <f>IF($F230=Statement!$C$3,$N230,0)+IF($H230=Statement!$C$3,$O230,0)</f>
        <v/>
      </c>
      <c r="V230" s="17">
        <f>IF(NOT($S230),0,IF(AND($B230&gt;=Statement!$C$6,$B230&lt;=Statement!$C$7),$U230,0)-IF(ISNUMBER($Q230),IF(AND($Q230&gt;=Statement!$C$6,$Q230&lt;=Statement!$C$7),$U230,0),0))</f>
        <v/>
      </c>
      <c r="W230" s="23">
        <f>IF($F230=Statement!$C$3,$G230,0)+IF($H230=Statement!$C$3,IF($I230="",0,$I230),0)</f>
        <v/>
      </c>
      <c r="X230">
        <f>IF(NOT($S230),"",IF(ISNUMBER($Q230),IF(AND($Q230&gt;=Statement!$C$6,$Q230&lt;=Statement!$C$7),"Clawback: credit reversed",""),"")&amp;IF(AND($B230&gt;=Statement!$C$6,$B230&lt;=Statement!$C$7,N($L230)&lt;1),"Partial credit: "&amp;TEXT($L230,"0%"),""))</f>
        <v/>
      </c>
    </row>
    <row r="231">
      <c r="A231" s="19" t="n"/>
      <c r="B231" s="20" t="n"/>
      <c r="C231" s="19" t="n"/>
      <c r="D231" s="19" t="n"/>
      <c r="E231" s="21" t="n"/>
      <c r="F231" s="19" t="n"/>
      <c r="G231" s="22" t="n"/>
      <c r="H231" s="19" t="n"/>
      <c r="I231" s="22" t="n"/>
      <c r="J231" s="20" t="n"/>
      <c r="K231" s="19" t="n"/>
      <c r="L231" s="23">
        <f>IF($E231="","",IFERROR(VLOOKUP($D231,'Plan setup'!$A$17:$B$21,2,FALSE),0))</f>
        <v/>
      </c>
      <c r="M231" s="17">
        <f>IF($E231="","",$E231*$L231)</f>
        <v/>
      </c>
      <c r="N231" s="17">
        <f>IF(OR($E231="",$F231=""),0,$M231*$G231)</f>
        <v/>
      </c>
      <c r="O231" s="17">
        <f>IF(OR($E231="",$H231=""),0,$M231*$I231)</f>
        <v/>
      </c>
      <c r="P231">
        <f>IF($J231="","",IF($J231-$B231&lt;='Plan setup'!$B$5,"Reversed","Outside window"))</f>
        <v/>
      </c>
      <c r="Q231" s="24">
        <f>IF($P231="Reversed",$J231,"")</f>
        <v/>
      </c>
      <c r="R231">
        <f>IF($E231="","",IF(ABS($G231+IF($I231="",0,$I231)-1)&gt;0.0001,"Splits must total 100%",IF(COUNTIF('Plan setup'!$A$25:$A$34,$F231)=0,"Rep 1 not in Plan setup",IF(IF($H231="",FALSE,COUNTIF('Plan setup'!$A$25:$A$34,$H231)=0),"Rep 2 not in Plan setup",IF(COUNTIF('Plan setup'!$A$17:$A$21,$D231)=0,"Unknown deal type",IF($P231="Outside window","Clawback outside window: not reversed","OK"))))))</f>
        <v/>
      </c>
      <c r="S231">
        <f>AND(ISNUMBER($B231),OR($F231=Statement!$C$3,$H231=Statement!$C$3),OR(AND($B231&gt;=Statement!$C$6,$B231&lt;=Statement!$C$7),AND(ISNUMBER($Q231),$Q231&gt;=Statement!$C$6,$Q231&lt;=Statement!$C$7)))</f>
        <v/>
      </c>
      <c r="T231">
        <f>IF($S231,COUNTIF($S$2:$S231,TRUE),"")</f>
        <v/>
      </c>
      <c r="U231" s="17">
        <f>IF($F231=Statement!$C$3,$N231,0)+IF($H231=Statement!$C$3,$O231,0)</f>
        <v/>
      </c>
      <c r="V231" s="17">
        <f>IF(NOT($S231),0,IF(AND($B231&gt;=Statement!$C$6,$B231&lt;=Statement!$C$7),$U231,0)-IF(ISNUMBER($Q231),IF(AND($Q231&gt;=Statement!$C$6,$Q231&lt;=Statement!$C$7),$U231,0),0))</f>
        <v/>
      </c>
      <c r="W231" s="23">
        <f>IF($F231=Statement!$C$3,$G231,0)+IF($H231=Statement!$C$3,IF($I231="",0,$I231),0)</f>
        <v/>
      </c>
      <c r="X231">
        <f>IF(NOT($S231),"",IF(ISNUMBER($Q231),IF(AND($Q231&gt;=Statement!$C$6,$Q231&lt;=Statement!$C$7),"Clawback: credit reversed",""),"")&amp;IF(AND($B231&gt;=Statement!$C$6,$B231&lt;=Statement!$C$7,N($L231)&lt;1),"Partial credit: "&amp;TEXT($L231,"0%"),""))</f>
        <v/>
      </c>
    </row>
    <row r="232">
      <c r="A232" s="19" t="n"/>
      <c r="B232" s="20" t="n"/>
      <c r="C232" s="19" t="n"/>
      <c r="D232" s="19" t="n"/>
      <c r="E232" s="21" t="n"/>
      <c r="F232" s="19" t="n"/>
      <c r="G232" s="22" t="n"/>
      <c r="H232" s="19" t="n"/>
      <c r="I232" s="22" t="n"/>
      <c r="J232" s="20" t="n"/>
      <c r="K232" s="19" t="n"/>
      <c r="L232" s="23">
        <f>IF($E232="","",IFERROR(VLOOKUP($D232,'Plan setup'!$A$17:$B$21,2,FALSE),0))</f>
        <v/>
      </c>
      <c r="M232" s="17">
        <f>IF($E232="","",$E232*$L232)</f>
        <v/>
      </c>
      <c r="N232" s="17">
        <f>IF(OR($E232="",$F232=""),0,$M232*$G232)</f>
        <v/>
      </c>
      <c r="O232" s="17">
        <f>IF(OR($E232="",$H232=""),0,$M232*$I232)</f>
        <v/>
      </c>
      <c r="P232">
        <f>IF($J232="","",IF($J232-$B232&lt;='Plan setup'!$B$5,"Reversed","Outside window"))</f>
        <v/>
      </c>
      <c r="Q232" s="24">
        <f>IF($P232="Reversed",$J232,"")</f>
        <v/>
      </c>
      <c r="R232">
        <f>IF($E232="","",IF(ABS($G232+IF($I232="",0,$I232)-1)&gt;0.0001,"Splits must total 100%",IF(COUNTIF('Plan setup'!$A$25:$A$34,$F232)=0,"Rep 1 not in Plan setup",IF(IF($H232="",FALSE,COUNTIF('Plan setup'!$A$25:$A$34,$H232)=0),"Rep 2 not in Plan setup",IF(COUNTIF('Plan setup'!$A$17:$A$21,$D232)=0,"Unknown deal type",IF($P232="Outside window","Clawback outside window: not reversed","OK"))))))</f>
        <v/>
      </c>
      <c r="S232">
        <f>AND(ISNUMBER($B232),OR($F232=Statement!$C$3,$H232=Statement!$C$3),OR(AND($B232&gt;=Statement!$C$6,$B232&lt;=Statement!$C$7),AND(ISNUMBER($Q232),$Q232&gt;=Statement!$C$6,$Q232&lt;=Statement!$C$7)))</f>
        <v/>
      </c>
      <c r="T232">
        <f>IF($S232,COUNTIF($S$2:$S232,TRUE),"")</f>
        <v/>
      </c>
      <c r="U232" s="17">
        <f>IF($F232=Statement!$C$3,$N232,0)+IF($H232=Statement!$C$3,$O232,0)</f>
        <v/>
      </c>
      <c r="V232" s="17">
        <f>IF(NOT($S232),0,IF(AND($B232&gt;=Statement!$C$6,$B232&lt;=Statement!$C$7),$U232,0)-IF(ISNUMBER($Q232),IF(AND($Q232&gt;=Statement!$C$6,$Q232&lt;=Statement!$C$7),$U232,0),0))</f>
        <v/>
      </c>
      <c r="W232" s="23">
        <f>IF($F232=Statement!$C$3,$G232,0)+IF($H232=Statement!$C$3,IF($I232="",0,$I232),0)</f>
        <v/>
      </c>
      <c r="X232">
        <f>IF(NOT($S232),"",IF(ISNUMBER($Q232),IF(AND($Q232&gt;=Statement!$C$6,$Q232&lt;=Statement!$C$7),"Clawback: credit reversed",""),"")&amp;IF(AND($B232&gt;=Statement!$C$6,$B232&lt;=Statement!$C$7,N($L232)&lt;1),"Partial credit: "&amp;TEXT($L232,"0%"),""))</f>
        <v/>
      </c>
    </row>
    <row r="233">
      <c r="A233" s="19" t="n"/>
      <c r="B233" s="20" t="n"/>
      <c r="C233" s="19" t="n"/>
      <c r="D233" s="19" t="n"/>
      <c r="E233" s="21" t="n"/>
      <c r="F233" s="19" t="n"/>
      <c r="G233" s="22" t="n"/>
      <c r="H233" s="19" t="n"/>
      <c r="I233" s="22" t="n"/>
      <c r="J233" s="20" t="n"/>
      <c r="K233" s="19" t="n"/>
      <c r="L233" s="23">
        <f>IF($E233="","",IFERROR(VLOOKUP($D233,'Plan setup'!$A$17:$B$21,2,FALSE),0))</f>
        <v/>
      </c>
      <c r="M233" s="17">
        <f>IF($E233="","",$E233*$L233)</f>
        <v/>
      </c>
      <c r="N233" s="17">
        <f>IF(OR($E233="",$F233=""),0,$M233*$G233)</f>
        <v/>
      </c>
      <c r="O233" s="17">
        <f>IF(OR($E233="",$H233=""),0,$M233*$I233)</f>
        <v/>
      </c>
      <c r="P233">
        <f>IF($J233="","",IF($J233-$B233&lt;='Plan setup'!$B$5,"Reversed","Outside window"))</f>
        <v/>
      </c>
      <c r="Q233" s="24">
        <f>IF($P233="Reversed",$J233,"")</f>
        <v/>
      </c>
      <c r="R233">
        <f>IF($E233="","",IF(ABS($G233+IF($I233="",0,$I233)-1)&gt;0.0001,"Splits must total 100%",IF(COUNTIF('Plan setup'!$A$25:$A$34,$F233)=0,"Rep 1 not in Plan setup",IF(IF($H233="",FALSE,COUNTIF('Plan setup'!$A$25:$A$34,$H233)=0),"Rep 2 not in Plan setup",IF(COUNTIF('Plan setup'!$A$17:$A$21,$D233)=0,"Unknown deal type",IF($P233="Outside window","Clawback outside window: not reversed","OK"))))))</f>
        <v/>
      </c>
      <c r="S233">
        <f>AND(ISNUMBER($B233),OR($F233=Statement!$C$3,$H233=Statement!$C$3),OR(AND($B233&gt;=Statement!$C$6,$B233&lt;=Statement!$C$7),AND(ISNUMBER($Q233),$Q233&gt;=Statement!$C$6,$Q233&lt;=Statement!$C$7)))</f>
        <v/>
      </c>
      <c r="T233">
        <f>IF($S233,COUNTIF($S$2:$S233,TRUE),"")</f>
        <v/>
      </c>
      <c r="U233" s="17">
        <f>IF($F233=Statement!$C$3,$N233,0)+IF($H233=Statement!$C$3,$O233,0)</f>
        <v/>
      </c>
      <c r="V233" s="17">
        <f>IF(NOT($S233),0,IF(AND($B233&gt;=Statement!$C$6,$B233&lt;=Statement!$C$7),$U233,0)-IF(ISNUMBER($Q233),IF(AND($Q233&gt;=Statement!$C$6,$Q233&lt;=Statement!$C$7),$U233,0),0))</f>
        <v/>
      </c>
      <c r="W233" s="23">
        <f>IF($F233=Statement!$C$3,$G233,0)+IF($H233=Statement!$C$3,IF($I233="",0,$I233),0)</f>
        <v/>
      </c>
      <c r="X233">
        <f>IF(NOT($S233),"",IF(ISNUMBER($Q233),IF(AND($Q233&gt;=Statement!$C$6,$Q233&lt;=Statement!$C$7),"Clawback: credit reversed",""),"")&amp;IF(AND($B233&gt;=Statement!$C$6,$B233&lt;=Statement!$C$7,N($L233)&lt;1),"Partial credit: "&amp;TEXT($L233,"0%"),""))</f>
        <v/>
      </c>
    </row>
    <row r="234">
      <c r="A234" s="19" t="n"/>
      <c r="B234" s="20" t="n"/>
      <c r="C234" s="19" t="n"/>
      <c r="D234" s="19" t="n"/>
      <c r="E234" s="21" t="n"/>
      <c r="F234" s="19" t="n"/>
      <c r="G234" s="22" t="n"/>
      <c r="H234" s="19" t="n"/>
      <c r="I234" s="22" t="n"/>
      <c r="J234" s="20" t="n"/>
      <c r="K234" s="19" t="n"/>
      <c r="L234" s="23">
        <f>IF($E234="","",IFERROR(VLOOKUP($D234,'Plan setup'!$A$17:$B$21,2,FALSE),0))</f>
        <v/>
      </c>
      <c r="M234" s="17">
        <f>IF($E234="","",$E234*$L234)</f>
        <v/>
      </c>
      <c r="N234" s="17">
        <f>IF(OR($E234="",$F234=""),0,$M234*$G234)</f>
        <v/>
      </c>
      <c r="O234" s="17">
        <f>IF(OR($E234="",$H234=""),0,$M234*$I234)</f>
        <v/>
      </c>
      <c r="P234">
        <f>IF($J234="","",IF($J234-$B234&lt;='Plan setup'!$B$5,"Reversed","Outside window"))</f>
        <v/>
      </c>
      <c r="Q234" s="24">
        <f>IF($P234="Reversed",$J234,"")</f>
        <v/>
      </c>
      <c r="R234">
        <f>IF($E234="","",IF(ABS($G234+IF($I234="",0,$I234)-1)&gt;0.0001,"Splits must total 100%",IF(COUNTIF('Plan setup'!$A$25:$A$34,$F234)=0,"Rep 1 not in Plan setup",IF(IF($H234="",FALSE,COUNTIF('Plan setup'!$A$25:$A$34,$H234)=0),"Rep 2 not in Plan setup",IF(COUNTIF('Plan setup'!$A$17:$A$21,$D234)=0,"Unknown deal type",IF($P234="Outside window","Clawback outside window: not reversed","OK"))))))</f>
        <v/>
      </c>
      <c r="S234">
        <f>AND(ISNUMBER($B234),OR($F234=Statement!$C$3,$H234=Statement!$C$3),OR(AND($B234&gt;=Statement!$C$6,$B234&lt;=Statement!$C$7),AND(ISNUMBER($Q234),$Q234&gt;=Statement!$C$6,$Q234&lt;=Statement!$C$7)))</f>
        <v/>
      </c>
      <c r="T234">
        <f>IF($S234,COUNTIF($S$2:$S234,TRUE),"")</f>
        <v/>
      </c>
      <c r="U234" s="17">
        <f>IF($F234=Statement!$C$3,$N234,0)+IF($H234=Statement!$C$3,$O234,0)</f>
        <v/>
      </c>
      <c r="V234" s="17">
        <f>IF(NOT($S234),0,IF(AND($B234&gt;=Statement!$C$6,$B234&lt;=Statement!$C$7),$U234,0)-IF(ISNUMBER($Q234),IF(AND($Q234&gt;=Statement!$C$6,$Q234&lt;=Statement!$C$7),$U234,0),0))</f>
        <v/>
      </c>
      <c r="W234" s="23">
        <f>IF($F234=Statement!$C$3,$G234,0)+IF($H234=Statement!$C$3,IF($I234="",0,$I234),0)</f>
        <v/>
      </c>
      <c r="X234">
        <f>IF(NOT($S234),"",IF(ISNUMBER($Q234),IF(AND($Q234&gt;=Statement!$C$6,$Q234&lt;=Statement!$C$7),"Clawback: credit reversed",""),"")&amp;IF(AND($B234&gt;=Statement!$C$6,$B234&lt;=Statement!$C$7,N($L234)&lt;1),"Partial credit: "&amp;TEXT($L234,"0%"),""))</f>
        <v/>
      </c>
    </row>
    <row r="235">
      <c r="A235" s="19" t="n"/>
      <c r="B235" s="20" t="n"/>
      <c r="C235" s="19" t="n"/>
      <c r="D235" s="19" t="n"/>
      <c r="E235" s="21" t="n"/>
      <c r="F235" s="19" t="n"/>
      <c r="G235" s="22" t="n"/>
      <c r="H235" s="19" t="n"/>
      <c r="I235" s="22" t="n"/>
      <c r="J235" s="20" t="n"/>
      <c r="K235" s="19" t="n"/>
      <c r="L235" s="23">
        <f>IF($E235="","",IFERROR(VLOOKUP($D235,'Plan setup'!$A$17:$B$21,2,FALSE),0))</f>
        <v/>
      </c>
      <c r="M235" s="17">
        <f>IF($E235="","",$E235*$L235)</f>
        <v/>
      </c>
      <c r="N235" s="17">
        <f>IF(OR($E235="",$F235=""),0,$M235*$G235)</f>
        <v/>
      </c>
      <c r="O235" s="17">
        <f>IF(OR($E235="",$H235=""),0,$M235*$I235)</f>
        <v/>
      </c>
      <c r="P235">
        <f>IF($J235="","",IF($J235-$B235&lt;='Plan setup'!$B$5,"Reversed","Outside window"))</f>
        <v/>
      </c>
      <c r="Q235" s="24">
        <f>IF($P235="Reversed",$J235,"")</f>
        <v/>
      </c>
      <c r="R235">
        <f>IF($E235="","",IF(ABS($G235+IF($I235="",0,$I235)-1)&gt;0.0001,"Splits must total 100%",IF(COUNTIF('Plan setup'!$A$25:$A$34,$F235)=0,"Rep 1 not in Plan setup",IF(IF($H235="",FALSE,COUNTIF('Plan setup'!$A$25:$A$34,$H235)=0),"Rep 2 not in Plan setup",IF(COUNTIF('Plan setup'!$A$17:$A$21,$D235)=0,"Unknown deal type",IF($P235="Outside window","Clawback outside window: not reversed","OK"))))))</f>
        <v/>
      </c>
      <c r="S235">
        <f>AND(ISNUMBER($B235),OR($F235=Statement!$C$3,$H235=Statement!$C$3),OR(AND($B235&gt;=Statement!$C$6,$B235&lt;=Statement!$C$7),AND(ISNUMBER($Q235),$Q235&gt;=Statement!$C$6,$Q235&lt;=Statement!$C$7)))</f>
        <v/>
      </c>
      <c r="T235">
        <f>IF($S235,COUNTIF($S$2:$S235,TRUE),"")</f>
        <v/>
      </c>
      <c r="U235" s="17">
        <f>IF($F235=Statement!$C$3,$N235,0)+IF($H235=Statement!$C$3,$O235,0)</f>
        <v/>
      </c>
      <c r="V235" s="17">
        <f>IF(NOT($S235),0,IF(AND($B235&gt;=Statement!$C$6,$B235&lt;=Statement!$C$7),$U235,0)-IF(ISNUMBER($Q235),IF(AND($Q235&gt;=Statement!$C$6,$Q235&lt;=Statement!$C$7),$U235,0),0))</f>
        <v/>
      </c>
      <c r="W235" s="23">
        <f>IF($F235=Statement!$C$3,$G235,0)+IF($H235=Statement!$C$3,IF($I235="",0,$I235),0)</f>
        <v/>
      </c>
      <c r="X235">
        <f>IF(NOT($S235),"",IF(ISNUMBER($Q235),IF(AND($Q235&gt;=Statement!$C$6,$Q235&lt;=Statement!$C$7),"Clawback: credit reversed",""),"")&amp;IF(AND($B235&gt;=Statement!$C$6,$B235&lt;=Statement!$C$7,N($L235)&lt;1),"Partial credit: "&amp;TEXT($L235,"0%"),""))</f>
        <v/>
      </c>
    </row>
    <row r="236">
      <c r="A236" s="19" t="n"/>
      <c r="B236" s="20" t="n"/>
      <c r="C236" s="19" t="n"/>
      <c r="D236" s="19" t="n"/>
      <c r="E236" s="21" t="n"/>
      <c r="F236" s="19" t="n"/>
      <c r="G236" s="22" t="n"/>
      <c r="H236" s="19" t="n"/>
      <c r="I236" s="22" t="n"/>
      <c r="J236" s="20" t="n"/>
      <c r="K236" s="19" t="n"/>
      <c r="L236" s="23">
        <f>IF($E236="","",IFERROR(VLOOKUP($D236,'Plan setup'!$A$17:$B$21,2,FALSE),0))</f>
        <v/>
      </c>
      <c r="M236" s="17">
        <f>IF($E236="","",$E236*$L236)</f>
        <v/>
      </c>
      <c r="N236" s="17">
        <f>IF(OR($E236="",$F236=""),0,$M236*$G236)</f>
        <v/>
      </c>
      <c r="O236" s="17">
        <f>IF(OR($E236="",$H236=""),0,$M236*$I236)</f>
        <v/>
      </c>
      <c r="P236">
        <f>IF($J236="","",IF($J236-$B236&lt;='Plan setup'!$B$5,"Reversed","Outside window"))</f>
        <v/>
      </c>
      <c r="Q236" s="24">
        <f>IF($P236="Reversed",$J236,"")</f>
        <v/>
      </c>
      <c r="R236">
        <f>IF($E236="","",IF(ABS($G236+IF($I236="",0,$I236)-1)&gt;0.0001,"Splits must total 100%",IF(COUNTIF('Plan setup'!$A$25:$A$34,$F236)=0,"Rep 1 not in Plan setup",IF(IF($H236="",FALSE,COUNTIF('Plan setup'!$A$25:$A$34,$H236)=0),"Rep 2 not in Plan setup",IF(COUNTIF('Plan setup'!$A$17:$A$21,$D236)=0,"Unknown deal type",IF($P236="Outside window","Clawback outside window: not reversed","OK"))))))</f>
        <v/>
      </c>
      <c r="S236">
        <f>AND(ISNUMBER($B236),OR($F236=Statement!$C$3,$H236=Statement!$C$3),OR(AND($B236&gt;=Statement!$C$6,$B236&lt;=Statement!$C$7),AND(ISNUMBER($Q236),$Q236&gt;=Statement!$C$6,$Q236&lt;=Statement!$C$7)))</f>
        <v/>
      </c>
      <c r="T236">
        <f>IF($S236,COUNTIF($S$2:$S236,TRUE),"")</f>
        <v/>
      </c>
      <c r="U236" s="17">
        <f>IF($F236=Statement!$C$3,$N236,0)+IF($H236=Statement!$C$3,$O236,0)</f>
        <v/>
      </c>
      <c r="V236" s="17">
        <f>IF(NOT($S236),0,IF(AND($B236&gt;=Statement!$C$6,$B236&lt;=Statement!$C$7),$U236,0)-IF(ISNUMBER($Q236),IF(AND($Q236&gt;=Statement!$C$6,$Q236&lt;=Statement!$C$7),$U236,0),0))</f>
        <v/>
      </c>
      <c r="W236" s="23">
        <f>IF($F236=Statement!$C$3,$G236,0)+IF($H236=Statement!$C$3,IF($I236="",0,$I236),0)</f>
        <v/>
      </c>
      <c r="X236">
        <f>IF(NOT($S236),"",IF(ISNUMBER($Q236),IF(AND($Q236&gt;=Statement!$C$6,$Q236&lt;=Statement!$C$7),"Clawback: credit reversed",""),"")&amp;IF(AND($B236&gt;=Statement!$C$6,$B236&lt;=Statement!$C$7,N($L236)&lt;1),"Partial credit: "&amp;TEXT($L236,"0%"),""))</f>
        <v/>
      </c>
    </row>
    <row r="237">
      <c r="A237" s="19" t="n"/>
      <c r="B237" s="20" t="n"/>
      <c r="C237" s="19" t="n"/>
      <c r="D237" s="19" t="n"/>
      <c r="E237" s="21" t="n"/>
      <c r="F237" s="19" t="n"/>
      <c r="G237" s="22" t="n"/>
      <c r="H237" s="19" t="n"/>
      <c r="I237" s="22" t="n"/>
      <c r="J237" s="20" t="n"/>
      <c r="K237" s="19" t="n"/>
      <c r="L237" s="23">
        <f>IF($E237="","",IFERROR(VLOOKUP($D237,'Plan setup'!$A$17:$B$21,2,FALSE),0))</f>
        <v/>
      </c>
      <c r="M237" s="17">
        <f>IF($E237="","",$E237*$L237)</f>
        <v/>
      </c>
      <c r="N237" s="17">
        <f>IF(OR($E237="",$F237=""),0,$M237*$G237)</f>
        <v/>
      </c>
      <c r="O237" s="17">
        <f>IF(OR($E237="",$H237=""),0,$M237*$I237)</f>
        <v/>
      </c>
      <c r="P237">
        <f>IF($J237="","",IF($J237-$B237&lt;='Plan setup'!$B$5,"Reversed","Outside window"))</f>
        <v/>
      </c>
      <c r="Q237" s="24">
        <f>IF($P237="Reversed",$J237,"")</f>
        <v/>
      </c>
      <c r="R237">
        <f>IF($E237="","",IF(ABS($G237+IF($I237="",0,$I237)-1)&gt;0.0001,"Splits must total 100%",IF(COUNTIF('Plan setup'!$A$25:$A$34,$F237)=0,"Rep 1 not in Plan setup",IF(IF($H237="",FALSE,COUNTIF('Plan setup'!$A$25:$A$34,$H237)=0),"Rep 2 not in Plan setup",IF(COUNTIF('Plan setup'!$A$17:$A$21,$D237)=0,"Unknown deal type",IF($P237="Outside window","Clawback outside window: not reversed","OK"))))))</f>
        <v/>
      </c>
      <c r="S237">
        <f>AND(ISNUMBER($B237),OR($F237=Statement!$C$3,$H237=Statement!$C$3),OR(AND($B237&gt;=Statement!$C$6,$B237&lt;=Statement!$C$7),AND(ISNUMBER($Q237),$Q237&gt;=Statement!$C$6,$Q237&lt;=Statement!$C$7)))</f>
        <v/>
      </c>
      <c r="T237">
        <f>IF($S237,COUNTIF($S$2:$S237,TRUE),"")</f>
        <v/>
      </c>
      <c r="U237" s="17">
        <f>IF($F237=Statement!$C$3,$N237,0)+IF($H237=Statement!$C$3,$O237,0)</f>
        <v/>
      </c>
      <c r="V237" s="17">
        <f>IF(NOT($S237),0,IF(AND($B237&gt;=Statement!$C$6,$B237&lt;=Statement!$C$7),$U237,0)-IF(ISNUMBER($Q237),IF(AND($Q237&gt;=Statement!$C$6,$Q237&lt;=Statement!$C$7),$U237,0),0))</f>
        <v/>
      </c>
      <c r="W237" s="23">
        <f>IF($F237=Statement!$C$3,$G237,0)+IF($H237=Statement!$C$3,IF($I237="",0,$I237),0)</f>
        <v/>
      </c>
      <c r="X237">
        <f>IF(NOT($S237),"",IF(ISNUMBER($Q237),IF(AND($Q237&gt;=Statement!$C$6,$Q237&lt;=Statement!$C$7),"Clawback: credit reversed",""),"")&amp;IF(AND($B237&gt;=Statement!$C$6,$B237&lt;=Statement!$C$7,N($L237)&lt;1),"Partial credit: "&amp;TEXT($L237,"0%"),""))</f>
        <v/>
      </c>
    </row>
    <row r="238">
      <c r="A238" s="19" t="n"/>
      <c r="B238" s="20" t="n"/>
      <c r="C238" s="19" t="n"/>
      <c r="D238" s="19" t="n"/>
      <c r="E238" s="21" t="n"/>
      <c r="F238" s="19" t="n"/>
      <c r="G238" s="22" t="n"/>
      <c r="H238" s="19" t="n"/>
      <c r="I238" s="22" t="n"/>
      <c r="J238" s="20" t="n"/>
      <c r="K238" s="19" t="n"/>
      <c r="L238" s="23">
        <f>IF($E238="","",IFERROR(VLOOKUP($D238,'Plan setup'!$A$17:$B$21,2,FALSE),0))</f>
        <v/>
      </c>
      <c r="M238" s="17">
        <f>IF($E238="","",$E238*$L238)</f>
        <v/>
      </c>
      <c r="N238" s="17">
        <f>IF(OR($E238="",$F238=""),0,$M238*$G238)</f>
        <v/>
      </c>
      <c r="O238" s="17">
        <f>IF(OR($E238="",$H238=""),0,$M238*$I238)</f>
        <v/>
      </c>
      <c r="P238">
        <f>IF($J238="","",IF($J238-$B238&lt;='Plan setup'!$B$5,"Reversed","Outside window"))</f>
        <v/>
      </c>
      <c r="Q238" s="24">
        <f>IF($P238="Reversed",$J238,"")</f>
        <v/>
      </c>
      <c r="R238">
        <f>IF($E238="","",IF(ABS($G238+IF($I238="",0,$I238)-1)&gt;0.0001,"Splits must total 100%",IF(COUNTIF('Plan setup'!$A$25:$A$34,$F238)=0,"Rep 1 not in Plan setup",IF(IF($H238="",FALSE,COUNTIF('Plan setup'!$A$25:$A$34,$H238)=0),"Rep 2 not in Plan setup",IF(COUNTIF('Plan setup'!$A$17:$A$21,$D238)=0,"Unknown deal type",IF($P238="Outside window","Clawback outside window: not reversed","OK"))))))</f>
        <v/>
      </c>
      <c r="S238">
        <f>AND(ISNUMBER($B238),OR($F238=Statement!$C$3,$H238=Statement!$C$3),OR(AND($B238&gt;=Statement!$C$6,$B238&lt;=Statement!$C$7),AND(ISNUMBER($Q238),$Q238&gt;=Statement!$C$6,$Q238&lt;=Statement!$C$7)))</f>
        <v/>
      </c>
      <c r="T238">
        <f>IF($S238,COUNTIF($S$2:$S238,TRUE),"")</f>
        <v/>
      </c>
      <c r="U238" s="17">
        <f>IF($F238=Statement!$C$3,$N238,0)+IF($H238=Statement!$C$3,$O238,0)</f>
        <v/>
      </c>
      <c r="V238" s="17">
        <f>IF(NOT($S238),0,IF(AND($B238&gt;=Statement!$C$6,$B238&lt;=Statement!$C$7),$U238,0)-IF(ISNUMBER($Q238),IF(AND($Q238&gt;=Statement!$C$6,$Q238&lt;=Statement!$C$7),$U238,0),0))</f>
        <v/>
      </c>
      <c r="W238" s="23">
        <f>IF($F238=Statement!$C$3,$G238,0)+IF($H238=Statement!$C$3,IF($I238="",0,$I238),0)</f>
        <v/>
      </c>
      <c r="X238">
        <f>IF(NOT($S238),"",IF(ISNUMBER($Q238),IF(AND($Q238&gt;=Statement!$C$6,$Q238&lt;=Statement!$C$7),"Clawback: credit reversed",""),"")&amp;IF(AND($B238&gt;=Statement!$C$6,$B238&lt;=Statement!$C$7,N($L238)&lt;1),"Partial credit: "&amp;TEXT($L238,"0%"),""))</f>
        <v/>
      </c>
    </row>
    <row r="239">
      <c r="A239" s="19" t="n"/>
      <c r="B239" s="20" t="n"/>
      <c r="C239" s="19" t="n"/>
      <c r="D239" s="19" t="n"/>
      <c r="E239" s="21" t="n"/>
      <c r="F239" s="19" t="n"/>
      <c r="G239" s="22" t="n"/>
      <c r="H239" s="19" t="n"/>
      <c r="I239" s="22" t="n"/>
      <c r="J239" s="20" t="n"/>
      <c r="K239" s="19" t="n"/>
      <c r="L239" s="23">
        <f>IF($E239="","",IFERROR(VLOOKUP($D239,'Plan setup'!$A$17:$B$21,2,FALSE),0))</f>
        <v/>
      </c>
      <c r="M239" s="17">
        <f>IF($E239="","",$E239*$L239)</f>
        <v/>
      </c>
      <c r="N239" s="17">
        <f>IF(OR($E239="",$F239=""),0,$M239*$G239)</f>
        <v/>
      </c>
      <c r="O239" s="17">
        <f>IF(OR($E239="",$H239=""),0,$M239*$I239)</f>
        <v/>
      </c>
      <c r="P239">
        <f>IF($J239="","",IF($J239-$B239&lt;='Plan setup'!$B$5,"Reversed","Outside window"))</f>
        <v/>
      </c>
      <c r="Q239" s="24">
        <f>IF($P239="Reversed",$J239,"")</f>
        <v/>
      </c>
      <c r="R239">
        <f>IF($E239="","",IF(ABS($G239+IF($I239="",0,$I239)-1)&gt;0.0001,"Splits must total 100%",IF(COUNTIF('Plan setup'!$A$25:$A$34,$F239)=0,"Rep 1 not in Plan setup",IF(IF($H239="",FALSE,COUNTIF('Plan setup'!$A$25:$A$34,$H239)=0),"Rep 2 not in Plan setup",IF(COUNTIF('Plan setup'!$A$17:$A$21,$D239)=0,"Unknown deal type",IF($P239="Outside window","Clawback outside window: not reversed","OK"))))))</f>
        <v/>
      </c>
      <c r="S239">
        <f>AND(ISNUMBER($B239),OR($F239=Statement!$C$3,$H239=Statement!$C$3),OR(AND($B239&gt;=Statement!$C$6,$B239&lt;=Statement!$C$7),AND(ISNUMBER($Q239),$Q239&gt;=Statement!$C$6,$Q239&lt;=Statement!$C$7)))</f>
        <v/>
      </c>
      <c r="T239">
        <f>IF($S239,COUNTIF($S$2:$S239,TRUE),"")</f>
        <v/>
      </c>
      <c r="U239" s="17">
        <f>IF($F239=Statement!$C$3,$N239,0)+IF($H239=Statement!$C$3,$O239,0)</f>
        <v/>
      </c>
      <c r="V239" s="17">
        <f>IF(NOT($S239),0,IF(AND($B239&gt;=Statement!$C$6,$B239&lt;=Statement!$C$7),$U239,0)-IF(ISNUMBER($Q239),IF(AND($Q239&gt;=Statement!$C$6,$Q239&lt;=Statement!$C$7),$U239,0),0))</f>
        <v/>
      </c>
      <c r="W239" s="23">
        <f>IF($F239=Statement!$C$3,$G239,0)+IF($H239=Statement!$C$3,IF($I239="",0,$I239),0)</f>
        <v/>
      </c>
      <c r="X239">
        <f>IF(NOT($S239),"",IF(ISNUMBER($Q239),IF(AND($Q239&gt;=Statement!$C$6,$Q239&lt;=Statement!$C$7),"Clawback: credit reversed",""),"")&amp;IF(AND($B239&gt;=Statement!$C$6,$B239&lt;=Statement!$C$7,N($L239)&lt;1),"Partial credit: "&amp;TEXT($L239,"0%"),""))</f>
        <v/>
      </c>
    </row>
    <row r="240">
      <c r="A240" s="19" t="n"/>
      <c r="B240" s="20" t="n"/>
      <c r="C240" s="19" t="n"/>
      <c r="D240" s="19" t="n"/>
      <c r="E240" s="21" t="n"/>
      <c r="F240" s="19" t="n"/>
      <c r="G240" s="22" t="n"/>
      <c r="H240" s="19" t="n"/>
      <c r="I240" s="22" t="n"/>
      <c r="J240" s="20" t="n"/>
      <c r="K240" s="19" t="n"/>
      <c r="L240" s="23">
        <f>IF($E240="","",IFERROR(VLOOKUP($D240,'Plan setup'!$A$17:$B$21,2,FALSE),0))</f>
        <v/>
      </c>
      <c r="M240" s="17">
        <f>IF($E240="","",$E240*$L240)</f>
        <v/>
      </c>
      <c r="N240" s="17">
        <f>IF(OR($E240="",$F240=""),0,$M240*$G240)</f>
        <v/>
      </c>
      <c r="O240" s="17">
        <f>IF(OR($E240="",$H240=""),0,$M240*$I240)</f>
        <v/>
      </c>
      <c r="P240">
        <f>IF($J240="","",IF($J240-$B240&lt;='Plan setup'!$B$5,"Reversed","Outside window"))</f>
        <v/>
      </c>
      <c r="Q240" s="24">
        <f>IF($P240="Reversed",$J240,"")</f>
        <v/>
      </c>
      <c r="R240">
        <f>IF($E240="","",IF(ABS($G240+IF($I240="",0,$I240)-1)&gt;0.0001,"Splits must total 100%",IF(COUNTIF('Plan setup'!$A$25:$A$34,$F240)=0,"Rep 1 not in Plan setup",IF(IF($H240="",FALSE,COUNTIF('Plan setup'!$A$25:$A$34,$H240)=0),"Rep 2 not in Plan setup",IF(COUNTIF('Plan setup'!$A$17:$A$21,$D240)=0,"Unknown deal type",IF($P240="Outside window","Clawback outside window: not reversed","OK"))))))</f>
        <v/>
      </c>
      <c r="S240">
        <f>AND(ISNUMBER($B240),OR($F240=Statement!$C$3,$H240=Statement!$C$3),OR(AND($B240&gt;=Statement!$C$6,$B240&lt;=Statement!$C$7),AND(ISNUMBER($Q240),$Q240&gt;=Statement!$C$6,$Q240&lt;=Statement!$C$7)))</f>
        <v/>
      </c>
      <c r="T240">
        <f>IF($S240,COUNTIF($S$2:$S240,TRUE),"")</f>
        <v/>
      </c>
      <c r="U240" s="17">
        <f>IF($F240=Statement!$C$3,$N240,0)+IF($H240=Statement!$C$3,$O240,0)</f>
        <v/>
      </c>
      <c r="V240" s="17">
        <f>IF(NOT($S240),0,IF(AND($B240&gt;=Statement!$C$6,$B240&lt;=Statement!$C$7),$U240,0)-IF(ISNUMBER($Q240),IF(AND($Q240&gt;=Statement!$C$6,$Q240&lt;=Statement!$C$7),$U240,0),0))</f>
        <v/>
      </c>
      <c r="W240" s="23">
        <f>IF($F240=Statement!$C$3,$G240,0)+IF($H240=Statement!$C$3,IF($I240="",0,$I240),0)</f>
        <v/>
      </c>
      <c r="X240">
        <f>IF(NOT($S240),"",IF(ISNUMBER($Q240),IF(AND($Q240&gt;=Statement!$C$6,$Q240&lt;=Statement!$C$7),"Clawback: credit reversed",""),"")&amp;IF(AND($B240&gt;=Statement!$C$6,$B240&lt;=Statement!$C$7,N($L240)&lt;1),"Partial credit: "&amp;TEXT($L240,"0%"),""))</f>
        <v/>
      </c>
    </row>
    <row r="241">
      <c r="A241" s="19" t="n"/>
      <c r="B241" s="20" t="n"/>
      <c r="C241" s="19" t="n"/>
      <c r="D241" s="19" t="n"/>
      <c r="E241" s="21" t="n"/>
      <c r="F241" s="19" t="n"/>
      <c r="G241" s="22" t="n"/>
      <c r="H241" s="19" t="n"/>
      <c r="I241" s="22" t="n"/>
      <c r="J241" s="20" t="n"/>
      <c r="K241" s="19" t="n"/>
      <c r="L241" s="23">
        <f>IF($E241="","",IFERROR(VLOOKUP($D241,'Plan setup'!$A$17:$B$21,2,FALSE),0))</f>
        <v/>
      </c>
      <c r="M241" s="17">
        <f>IF($E241="","",$E241*$L241)</f>
        <v/>
      </c>
      <c r="N241" s="17">
        <f>IF(OR($E241="",$F241=""),0,$M241*$G241)</f>
        <v/>
      </c>
      <c r="O241" s="17">
        <f>IF(OR($E241="",$H241=""),0,$M241*$I241)</f>
        <v/>
      </c>
      <c r="P241">
        <f>IF($J241="","",IF($J241-$B241&lt;='Plan setup'!$B$5,"Reversed","Outside window"))</f>
        <v/>
      </c>
      <c r="Q241" s="24">
        <f>IF($P241="Reversed",$J241,"")</f>
        <v/>
      </c>
      <c r="R241">
        <f>IF($E241="","",IF(ABS($G241+IF($I241="",0,$I241)-1)&gt;0.0001,"Splits must total 100%",IF(COUNTIF('Plan setup'!$A$25:$A$34,$F241)=0,"Rep 1 not in Plan setup",IF(IF($H241="",FALSE,COUNTIF('Plan setup'!$A$25:$A$34,$H241)=0),"Rep 2 not in Plan setup",IF(COUNTIF('Plan setup'!$A$17:$A$21,$D241)=0,"Unknown deal type",IF($P241="Outside window","Clawback outside window: not reversed","OK"))))))</f>
        <v/>
      </c>
      <c r="S241">
        <f>AND(ISNUMBER($B241),OR($F241=Statement!$C$3,$H241=Statement!$C$3),OR(AND($B241&gt;=Statement!$C$6,$B241&lt;=Statement!$C$7),AND(ISNUMBER($Q241),$Q241&gt;=Statement!$C$6,$Q241&lt;=Statement!$C$7)))</f>
        <v/>
      </c>
      <c r="T241">
        <f>IF($S241,COUNTIF($S$2:$S241,TRUE),"")</f>
        <v/>
      </c>
      <c r="U241" s="17">
        <f>IF($F241=Statement!$C$3,$N241,0)+IF($H241=Statement!$C$3,$O241,0)</f>
        <v/>
      </c>
      <c r="V241" s="17">
        <f>IF(NOT($S241),0,IF(AND($B241&gt;=Statement!$C$6,$B241&lt;=Statement!$C$7),$U241,0)-IF(ISNUMBER($Q241),IF(AND($Q241&gt;=Statement!$C$6,$Q241&lt;=Statement!$C$7),$U241,0),0))</f>
        <v/>
      </c>
      <c r="W241" s="23">
        <f>IF($F241=Statement!$C$3,$G241,0)+IF($H241=Statement!$C$3,IF($I241="",0,$I241),0)</f>
        <v/>
      </c>
      <c r="X241">
        <f>IF(NOT($S241),"",IF(ISNUMBER($Q241),IF(AND($Q241&gt;=Statement!$C$6,$Q241&lt;=Statement!$C$7),"Clawback: credit reversed",""),"")&amp;IF(AND($B241&gt;=Statement!$C$6,$B241&lt;=Statement!$C$7,N($L241)&lt;1),"Partial credit: "&amp;TEXT($L241,"0%"),""))</f>
        <v/>
      </c>
    </row>
    <row r="242">
      <c r="A242" s="19" t="n"/>
      <c r="B242" s="20" t="n"/>
      <c r="C242" s="19" t="n"/>
      <c r="D242" s="19" t="n"/>
      <c r="E242" s="21" t="n"/>
      <c r="F242" s="19" t="n"/>
      <c r="G242" s="22" t="n"/>
      <c r="H242" s="19" t="n"/>
      <c r="I242" s="22" t="n"/>
      <c r="J242" s="20" t="n"/>
      <c r="K242" s="19" t="n"/>
      <c r="L242" s="23">
        <f>IF($E242="","",IFERROR(VLOOKUP($D242,'Plan setup'!$A$17:$B$21,2,FALSE),0))</f>
        <v/>
      </c>
      <c r="M242" s="17">
        <f>IF($E242="","",$E242*$L242)</f>
        <v/>
      </c>
      <c r="N242" s="17">
        <f>IF(OR($E242="",$F242=""),0,$M242*$G242)</f>
        <v/>
      </c>
      <c r="O242" s="17">
        <f>IF(OR($E242="",$H242=""),0,$M242*$I242)</f>
        <v/>
      </c>
      <c r="P242">
        <f>IF($J242="","",IF($J242-$B242&lt;='Plan setup'!$B$5,"Reversed","Outside window"))</f>
        <v/>
      </c>
      <c r="Q242" s="24">
        <f>IF($P242="Reversed",$J242,"")</f>
        <v/>
      </c>
      <c r="R242">
        <f>IF($E242="","",IF(ABS($G242+IF($I242="",0,$I242)-1)&gt;0.0001,"Splits must total 100%",IF(COUNTIF('Plan setup'!$A$25:$A$34,$F242)=0,"Rep 1 not in Plan setup",IF(IF($H242="",FALSE,COUNTIF('Plan setup'!$A$25:$A$34,$H242)=0),"Rep 2 not in Plan setup",IF(COUNTIF('Plan setup'!$A$17:$A$21,$D242)=0,"Unknown deal type",IF($P242="Outside window","Clawback outside window: not reversed","OK"))))))</f>
        <v/>
      </c>
      <c r="S242">
        <f>AND(ISNUMBER($B242),OR($F242=Statement!$C$3,$H242=Statement!$C$3),OR(AND($B242&gt;=Statement!$C$6,$B242&lt;=Statement!$C$7),AND(ISNUMBER($Q242),$Q242&gt;=Statement!$C$6,$Q242&lt;=Statement!$C$7)))</f>
        <v/>
      </c>
      <c r="T242">
        <f>IF($S242,COUNTIF($S$2:$S242,TRUE),"")</f>
        <v/>
      </c>
      <c r="U242" s="17">
        <f>IF($F242=Statement!$C$3,$N242,0)+IF($H242=Statement!$C$3,$O242,0)</f>
        <v/>
      </c>
      <c r="V242" s="17">
        <f>IF(NOT($S242),0,IF(AND($B242&gt;=Statement!$C$6,$B242&lt;=Statement!$C$7),$U242,0)-IF(ISNUMBER($Q242),IF(AND($Q242&gt;=Statement!$C$6,$Q242&lt;=Statement!$C$7),$U242,0),0))</f>
        <v/>
      </c>
      <c r="W242" s="23">
        <f>IF($F242=Statement!$C$3,$G242,0)+IF($H242=Statement!$C$3,IF($I242="",0,$I242),0)</f>
        <v/>
      </c>
      <c r="X242">
        <f>IF(NOT($S242),"",IF(ISNUMBER($Q242),IF(AND($Q242&gt;=Statement!$C$6,$Q242&lt;=Statement!$C$7),"Clawback: credit reversed",""),"")&amp;IF(AND($B242&gt;=Statement!$C$6,$B242&lt;=Statement!$C$7,N($L242)&lt;1),"Partial credit: "&amp;TEXT($L242,"0%"),""))</f>
        <v/>
      </c>
    </row>
    <row r="243">
      <c r="A243" s="19" t="n"/>
      <c r="B243" s="20" t="n"/>
      <c r="C243" s="19" t="n"/>
      <c r="D243" s="19" t="n"/>
      <c r="E243" s="21" t="n"/>
      <c r="F243" s="19" t="n"/>
      <c r="G243" s="22" t="n"/>
      <c r="H243" s="19" t="n"/>
      <c r="I243" s="22" t="n"/>
      <c r="J243" s="20" t="n"/>
      <c r="K243" s="19" t="n"/>
      <c r="L243" s="23">
        <f>IF($E243="","",IFERROR(VLOOKUP($D243,'Plan setup'!$A$17:$B$21,2,FALSE),0))</f>
        <v/>
      </c>
      <c r="M243" s="17">
        <f>IF($E243="","",$E243*$L243)</f>
        <v/>
      </c>
      <c r="N243" s="17">
        <f>IF(OR($E243="",$F243=""),0,$M243*$G243)</f>
        <v/>
      </c>
      <c r="O243" s="17">
        <f>IF(OR($E243="",$H243=""),0,$M243*$I243)</f>
        <v/>
      </c>
      <c r="P243">
        <f>IF($J243="","",IF($J243-$B243&lt;='Plan setup'!$B$5,"Reversed","Outside window"))</f>
        <v/>
      </c>
      <c r="Q243" s="24">
        <f>IF($P243="Reversed",$J243,"")</f>
        <v/>
      </c>
      <c r="R243">
        <f>IF($E243="","",IF(ABS($G243+IF($I243="",0,$I243)-1)&gt;0.0001,"Splits must total 100%",IF(COUNTIF('Plan setup'!$A$25:$A$34,$F243)=0,"Rep 1 not in Plan setup",IF(IF($H243="",FALSE,COUNTIF('Plan setup'!$A$25:$A$34,$H243)=0),"Rep 2 not in Plan setup",IF(COUNTIF('Plan setup'!$A$17:$A$21,$D243)=0,"Unknown deal type",IF($P243="Outside window","Clawback outside window: not reversed","OK"))))))</f>
        <v/>
      </c>
      <c r="S243">
        <f>AND(ISNUMBER($B243),OR($F243=Statement!$C$3,$H243=Statement!$C$3),OR(AND($B243&gt;=Statement!$C$6,$B243&lt;=Statement!$C$7),AND(ISNUMBER($Q243),$Q243&gt;=Statement!$C$6,$Q243&lt;=Statement!$C$7)))</f>
        <v/>
      </c>
      <c r="T243">
        <f>IF($S243,COUNTIF($S$2:$S243,TRUE),"")</f>
        <v/>
      </c>
      <c r="U243" s="17">
        <f>IF($F243=Statement!$C$3,$N243,0)+IF($H243=Statement!$C$3,$O243,0)</f>
        <v/>
      </c>
      <c r="V243" s="17">
        <f>IF(NOT($S243),0,IF(AND($B243&gt;=Statement!$C$6,$B243&lt;=Statement!$C$7),$U243,0)-IF(ISNUMBER($Q243),IF(AND($Q243&gt;=Statement!$C$6,$Q243&lt;=Statement!$C$7),$U243,0),0))</f>
        <v/>
      </c>
      <c r="W243" s="23">
        <f>IF($F243=Statement!$C$3,$G243,0)+IF($H243=Statement!$C$3,IF($I243="",0,$I243),0)</f>
        <v/>
      </c>
      <c r="X243">
        <f>IF(NOT($S243),"",IF(ISNUMBER($Q243),IF(AND($Q243&gt;=Statement!$C$6,$Q243&lt;=Statement!$C$7),"Clawback: credit reversed",""),"")&amp;IF(AND($B243&gt;=Statement!$C$6,$B243&lt;=Statement!$C$7,N($L243)&lt;1),"Partial credit: "&amp;TEXT($L243,"0%"),""))</f>
        <v/>
      </c>
    </row>
    <row r="244">
      <c r="A244" s="19" t="n"/>
      <c r="B244" s="20" t="n"/>
      <c r="C244" s="19" t="n"/>
      <c r="D244" s="19" t="n"/>
      <c r="E244" s="21" t="n"/>
      <c r="F244" s="19" t="n"/>
      <c r="G244" s="22" t="n"/>
      <c r="H244" s="19" t="n"/>
      <c r="I244" s="22" t="n"/>
      <c r="J244" s="20" t="n"/>
      <c r="K244" s="19" t="n"/>
      <c r="L244" s="23">
        <f>IF($E244="","",IFERROR(VLOOKUP($D244,'Plan setup'!$A$17:$B$21,2,FALSE),0))</f>
        <v/>
      </c>
      <c r="M244" s="17">
        <f>IF($E244="","",$E244*$L244)</f>
        <v/>
      </c>
      <c r="N244" s="17">
        <f>IF(OR($E244="",$F244=""),0,$M244*$G244)</f>
        <v/>
      </c>
      <c r="O244" s="17">
        <f>IF(OR($E244="",$H244=""),0,$M244*$I244)</f>
        <v/>
      </c>
      <c r="P244">
        <f>IF($J244="","",IF($J244-$B244&lt;='Plan setup'!$B$5,"Reversed","Outside window"))</f>
        <v/>
      </c>
      <c r="Q244" s="24">
        <f>IF($P244="Reversed",$J244,"")</f>
        <v/>
      </c>
      <c r="R244">
        <f>IF($E244="","",IF(ABS($G244+IF($I244="",0,$I244)-1)&gt;0.0001,"Splits must total 100%",IF(COUNTIF('Plan setup'!$A$25:$A$34,$F244)=0,"Rep 1 not in Plan setup",IF(IF($H244="",FALSE,COUNTIF('Plan setup'!$A$25:$A$34,$H244)=0),"Rep 2 not in Plan setup",IF(COUNTIF('Plan setup'!$A$17:$A$21,$D244)=0,"Unknown deal type",IF($P244="Outside window","Clawback outside window: not reversed","OK"))))))</f>
        <v/>
      </c>
      <c r="S244">
        <f>AND(ISNUMBER($B244),OR($F244=Statement!$C$3,$H244=Statement!$C$3),OR(AND($B244&gt;=Statement!$C$6,$B244&lt;=Statement!$C$7),AND(ISNUMBER($Q244),$Q244&gt;=Statement!$C$6,$Q244&lt;=Statement!$C$7)))</f>
        <v/>
      </c>
      <c r="T244">
        <f>IF($S244,COUNTIF($S$2:$S244,TRUE),"")</f>
        <v/>
      </c>
      <c r="U244" s="17">
        <f>IF($F244=Statement!$C$3,$N244,0)+IF($H244=Statement!$C$3,$O244,0)</f>
        <v/>
      </c>
      <c r="V244" s="17">
        <f>IF(NOT($S244),0,IF(AND($B244&gt;=Statement!$C$6,$B244&lt;=Statement!$C$7),$U244,0)-IF(ISNUMBER($Q244),IF(AND($Q244&gt;=Statement!$C$6,$Q244&lt;=Statement!$C$7),$U244,0),0))</f>
        <v/>
      </c>
      <c r="W244" s="23">
        <f>IF($F244=Statement!$C$3,$G244,0)+IF($H244=Statement!$C$3,IF($I244="",0,$I244),0)</f>
        <v/>
      </c>
      <c r="X244">
        <f>IF(NOT($S244),"",IF(ISNUMBER($Q244),IF(AND($Q244&gt;=Statement!$C$6,$Q244&lt;=Statement!$C$7),"Clawback: credit reversed",""),"")&amp;IF(AND($B244&gt;=Statement!$C$6,$B244&lt;=Statement!$C$7,N($L244)&lt;1),"Partial credit: "&amp;TEXT($L244,"0%"),""))</f>
        <v/>
      </c>
    </row>
    <row r="245">
      <c r="A245" s="19" t="n"/>
      <c r="B245" s="20" t="n"/>
      <c r="C245" s="19" t="n"/>
      <c r="D245" s="19" t="n"/>
      <c r="E245" s="21" t="n"/>
      <c r="F245" s="19" t="n"/>
      <c r="G245" s="22" t="n"/>
      <c r="H245" s="19" t="n"/>
      <c r="I245" s="22" t="n"/>
      <c r="J245" s="20" t="n"/>
      <c r="K245" s="19" t="n"/>
      <c r="L245" s="23">
        <f>IF($E245="","",IFERROR(VLOOKUP($D245,'Plan setup'!$A$17:$B$21,2,FALSE),0))</f>
        <v/>
      </c>
      <c r="M245" s="17">
        <f>IF($E245="","",$E245*$L245)</f>
        <v/>
      </c>
      <c r="N245" s="17">
        <f>IF(OR($E245="",$F245=""),0,$M245*$G245)</f>
        <v/>
      </c>
      <c r="O245" s="17">
        <f>IF(OR($E245="",$H245=""),0,$M245*$I245)</f>
        <v/>
      </c>
      <c r="P245">
        <f>IF($J245="","",IF($J245-$B245&lt;='Plan setup'!$B$5,"Reversed","Outside window"))</f>
        <v/>
      </c>
      <c r="Q245" s="24">
        <f>IF($P245="Reversed",$J245,"")</f>
        <v/>
      </c>
      <c r="R245">
        <f>IF($E245="","",IF(ABS($G245+IF($I245="",0,$I245)-1)&gt;0.0001,"Splits must total 100%",IF(COUNTIF('Plan setup'!$A$25:$A$34,$F245)=0,"Rep 1 not in Plan setup",IF(IF($H245="",FALSE,COUNTIF('Plan setup'!$A$25:$A$34,$H245)=0),"Rep 2 not in Plan setup",IF(COUNTIF('Plan setup'!$A$17:$A$21,$D245)=0,"Unknown deal type",IF($P245="Outside window","Clawback outside window: not reversed","OK"))))))</f>
        <v/>
      </c>
      <c r="S245">
        <f>AND(ISNUMBER($B245),OR($F245=Statement!$C$3,$H245=Statement!$C$3),OR(AND($B245&gt;=Statement!$C$6,$B245&lt;=Statement!$C$7),AND(ISNUMBER($Q245),$Q245&gt;=Statement!$C$6,$Q245&lt;=Statement!$C$7)))</f>
        <v/>
      </c>
      <c r="T245">
        <f>IF($S245,COUNTIF($S$2:$S245,TRUE),"")</f>
        <v/>
      </c>
      <c r="U245" s="17">
        <f>IF($F245=Statement!$C$3,$N245,0)+IF($H245=Statement!$C$3,$O245,0)</f>
        <v/>
      </c>
      <c r="V245" s="17">
        <f>IF(NOT($S245),0,IF(AND($B245&gt;=Statement!$C$6,$B245&lt;=Statement!$C$7),$U245,0)-IF(ISNUMBER($Q245),IF(AND($Q245&gt;=Statement!$C$6,$Q245&lt;=Statement!$C$7),$U245,0),0))</f>
        <v/>
      </c>
      <c r="W245" s="23">
        <f>IF($F245=Statement!$C$3,$G245,0)+IF($H245=Statement!$C$3,IF($I245="",0,$I245),0)</f>
        <v/>
      </c>
      <c r="X245">
        <f>IF(NOT($S245),"",IF(ISNUMBER($Q245),IF(AND($Q245&gt;=Statement!$C$6,$Q245&lt;=Statement!$C$7),"Clawback: credit reversed",""),"")&amp;IF(AND($B245&gt;=Statement!$C$6,$B245&lt;=Statement!$C$7,N($L245)&lt;1),"Partial credit: "&amp;TEXT($L245,"0%"),""))</f>
        <v/>
      </c>
    </row>
    <row r="246">
      <c r="A246" s="19" t="n"/>
      <c r="B246" s="20" t="n"/>
      <c r="C246" s="19" t="n"/>
      <c r="D246" s="19" t="n"/>
      <c r="E246" s="21" t="n"/>
      <c r="F246" s="19" t="n"/>
      <c r="G246" s="22" t="n"/>
      <c r="H246" s="19" t="n"/>
      <c r="I246" s="22" t="n"/>
      <c r="J246" s="20" t="n"/>
      <c r="K246" s="19" t="n"/>
      <c r="L246" s="23">
        <f>IF($E246="","",IFERROR(VLOOKUP($D246,'Plan setup'!$A$17:$B$21,2,FALSE),0))</f>
        <v/>
      </c>
      <c r="M246" s="17">
        <f>IF($E246="","",$E246*$L246)</f>
        <v/>
      </c>
      <c r="N246" s="17">
        <f>IF(OR($E246="",$F246=""),0,$M246*$G246)</f>
        <v/>
      </c>
      <c r="O246" s="17">
        <f>IF(OR($E246="",$H246=""),0,$M246*$I246)</f>
        <v/>
      </c>
      <c r="P246">
        <f>IF($J246="","",IF($J246-$B246&lt;='Plan setup'!$B$5,"Reversed","Outside window"))</f>
        <v/>
      </c>
      <c r="Q246" s="24">
        <f>IF($P246="Reversed",$J246,"")</f>
        <v/>
      </c>
      <c r="R246">
        <f>IF($E246="","",IF(ABS($G246+IF($I246="",0,$I246)-1)&gt;0.0001,"Splits must total 100%",IF(COUNTIF('Plan setup'!$A$25:$A$34,$F246)=0,"Rep 1 not in Plan setup",IF(IF($H246="",FALSE,COUNTIF('Plan setup'!$A$25:$A$34,$H246)=0),"Rep 2 not in Plan setup",IF(COUNTIF('Plan setup'!$A$17:$A$21,$D246)=0,"Unknown deal type",IF($P246="Outside window","Clawback outside window: not reversed","OK"))))))</f>
        <v/>
      </c>
      <c r="S246">
        <f>AND(ISNUMBER($B246),OR($F246=Statement!$C$3,$H246=Statement!$C$3),OR(AND($B246&gt;=Statement!$C$6,$B246&lt;=Statement!$C$7),AND(ISNUMBER($Q246),$Q246&gt;=Statement!$C$6,$Q246&lt;=Statement!$C$7)))</f>
        <v/>
      </c>
      <c r="T246">
        <f>IF($S246,COUNTIF($S$2:$S246,TRUE),"")</f>
        <v/>
      </c>
      <c r="U246" s="17">
        <f>IF($F246=Statement!$C$3,$N246,0)+IF($H246=Statement!$C$3,$O246,0)</f>
        <v/>
      </c>
      <c r="V246" s="17">
        <f>IF(NOT($S246),0,IF(AND($B246&gt;=Statement!$C$6,$B246&lt;=Statement!$C$7),$U246,0)-IF(ISNUMBER($Q246),IF(AND($Q246&gt;=Statement!$C$6,$Q246&lt;=Statement!$C$7),$U246,0),0))</f>
        <v/>
      </c>
      <c r="W246" s="23">
        <f>IF($F246=Statement!$C$3,$G246,0)+IF($H246=Statement!$C$3,IF($I246="",0,$I246),0)</f>
        <v/>
      </c>
      <c r="X246">
        <f>IF(NOT($S246),"",IF(ISNUMBER($Q246),IF(AND($Q246&gt;=Statement!$C$6,$Q246&lt;=Statement!$C$7),"Clawback: credit reversed",""),"")&amp;IF(AND($B246&gt;=Statement!$C$6,$B246&lt;=Statement!$C$7,N($L246)&lt;1),"Partial credit: "&amp;TEXT($L246,"0%"),""))</f>
        <v/>
      </c>
    </row>
    <row r="247">
      <c r="A247" s="19" t="n"/>
      <c r="B247" s="20" t="n"/>
      <c r="C247" s="19" t="n"/>
      <c r="D247" s="19" t="n"/>
      <c r="E247" s="21" t="n"/>
      <c r="F247" s="19" t="n"/>
      <c r="G247" s="22" t="n"/>
      <c r="H247" s="19" t="n"/>
      <c r="I247" s="22" t="n"/>
      <c r="J247" s="20" t="n"/>
      <c r="K247" s="19" t="n"/>
      <c r="L247" s="23">
        <f>IF($E247="","",IFERROR(VLOOKUP($D247,'Plan setup'!$A$17:$B$21,2,FALSE),0))</f>
        <v/>
      </c>
      <c r="M247" s="17">
        <f>IF($E247="","",$E247*$L247)</f>
        <v/>
      </c>
      <c r="N247" s="17">
        <f>IF(OR($E247="",$F247=""),0,$M247*$G247)</f>
        <v/>
      </c>
      <c r="O247" s="17">
        <f>IF(OR($E247="",$H247=""),0,$M247*$I247)</f>
        <v/>
      </c>
      <c r="P247">
        <f>IF($J247="","",IF($J247-$B247&lt;='Plan setup'!$B$5,"Reversed","Outside window"))</f>
        <v/>
      </c>
      <c r="Q247" s="24">
        <f>IF($P247="Reversed",$J247,"")</f>
        <v/>
      </c>
      <c r="R247">
        <f>IF($E247="","",IF(ABS($G247+IF($I247="",0,$I247)-1)&gt;0.0001,"Splits must total 100%",IF(COUNTIF('Plan setup'!$A$25:$A$34,$F247)=0,"Rep 1 not in Plan setup",IF(IF($H247="",FALSE,COUNTIF('Plan setup'!$A$25:$A$34,$H247)=0),"Rep 2 not in Plan setup",IF(COUNTIF('Plan setup'!$A$17:$A$21,$D247)=0,"Unknown deal type",IF($P247="Outside window","Clawback outside window: not reversed","OK"))))))</f>
        <v/>
      </c>
      <c r="S247">
        <f>AND(ISNUMBER($B247),OR($F247=Statement!$C$3,$H247=Statement!$C$3),OR(AND($B247&gt;=Statement!$C$6,$B247&lt;=Statement!$C$7),AND(ISNUMBER($Q247),$Q247&gt;=Statement!$C$6,$Q247&lt;=Statement!$C$7)))</f>
        <v/>
      </c>
      <c r="T247">
        <f>IF($S247,COUNTIF($S$2:$S247,TRUE),"")</f>
        <v/>
      </c>
      <c r="U247" s="17">
        <f>IF($F247=Statement!$C$3,$N247,0)+IF($H247=Statement!$C$3,$O247,0)</f>
        <v/>
      </c>
      <c r="V247" s="17">
        <f>IF(NOT($S247),0,IF(AND($B247&gt;=Statement!$C$6,$B247&lt;=Statement!$C$7),$U247,0)-IF(ISNUMBER($Q247),IF(AND($Q247&gt;=Statement!$C$6,$Q247&lt;=Statement!$C$7),$U247,0),0))</f>
        <v/>
      </c>
      <c r="W247" s="23">
        <f>IF($F247=Statement!$C$3,$G247,0)+IF($H247=Statement!$C$3,IF($I247="",0,$I247),0)</f>
        <v/>
      </c>
      <c r="X247">
        <f>IF(NOT($S247),"",IF(ISNUMBER($Q247),IF(AND($Q247&gt;=Statement!$C$6,$Q247&lt;=Statement!$C$7),"Clawback: credit reversed",""),"")&amp;IF(AND($B247&gt;=Statement!$C$6,$B247&lt;=Statement!$C$7,N($L247)&lt;1),"Partial credit: "&amp;TEXT($L247,"0%"),""))</f>
        <v/>
      </c>
    </row>
    <row r="248">
      <c r="A248" s="19" t="n"/>
      <c r="B248" s="20" t="n"/>
      <c r="C248" s="19" t="n"/>
      <c r="D248" s="19" t="n"/>
      <c r="E248" s="21" t="n"/>
      <c r="F248" s="19" t="n"/>
      <c r="G248" s="22" t="n"/>
      <c r="H248" s="19" t="n"/>
      <c r="I248" s="22" t="n"/>
      <c r="J248" s="20" t="n"/>
      <c r="K248" s="19" t="n"/>
      <c r="L248" s="23">
        <f>IF($E248="","",IFERROR(VLOOKUP($D248,'Plan setup'!$A$17:$B$21,2,FALSE),0))</f>
        <v/>
      </c>
      <c r="M248" s="17">
        <f>IF($E248="","",$E248*$L248)</f>
        <v/>
      </c>
      <c r="N248" s="17">
        <f>IF(OR($E248="",$F248=""),0,$M248*$G248)</f>
        <v/>
      </c>
      <c r="O248" s="17">
        <f>IF(OR($E248="",$H248=""),0,$M248*$I248)</f>
        <v/>
      </c>
      <c r="P248">
        <f>IF($J248="","",IF($J248-$B248&lt;='Plan setup'!$B$5,"Reversed","Outside window"))</f>
        <v/>
      </c>
      <c r="Q248" s="24">
        <f>IF($P248="Reversed",$J248,"")</f>
        <v/>
      </c>
      <c r="R248">
        <f>IF($E248="","",IF(ABS($G248+IF($I248="",0,$I248)-1)&gt;0.0001,"Splits must total 100%",IF(COUNTIF('Plan setup'!$A$25:$A$34,$F248)=0,"Rep 1 not in Plan setup",IF(IF($H248="",FALSE,COUNTIF('Plan setup'!$A$25:$A$34,$H248)=0),"Rep 2 not in Plan setup",IF(COUNTIF('Plan setup'!$A$17:$A$21,$D248)=0,"Unknown deal type",IF($P248="Outside window","Clawback outside window: not reversed","OK"))))))</f>
        <v/>
      </c>
      <c r="S248">
        <f>AND(ISNUMBER($B248),OR($F248=Statement!$C$3,$H248=Statement!$C$3),OR(AND($B248&gt;=Statement!$C$6,$B248&lt;=Statement!$C$7),AND(ISNUMBER($Q248),$Q248&gt;=Statement!$C$6,$Q248&lt;=Statement!$C$7)))</f>
        <v/>
      </c>
      <c r="T248">
        <f>IF($S248,COUNTIF($S$2:$S248,TRUE),"")</f>
        <v/>
      </c>
      <c r="U248" s="17">
        <f>IF($F248=Statement!$C$3,$N248,0)+IF($H248=Statement!$C$3,$O248,0)</f>
        <v/>
      </c>
      <c r="V248" s="17">
        <f>IF(NOT($S248),0,IF(AND($B248&gt;=Statement!$C$6,$B248&lt;=Statement!$C$7),$U248,0)-IF(ISNUMBER($Q248),IF(AND($Q248&gt;=Statement!$C$6,$Q248&lt;=Statement!$C$7),$U248,0),0))</f>
        <v/>
      </c>
      <c r="W248" s="23">
        <f>IF($F248=Statement!$C$3,$G248,0)+IF($H248=Statement!$C$3,IF($I248="",0,$I248),0)</f>
        <v/>
      </c>
      <c r="X248">
        <f>IF(NOT($S248),"",IF(ISNUMBER($Q248),IF(AND($Q248&gt;=Statement!$C$6,$Q248&lt;=Statement!$C$7),"Clawback: credit reversed",""),"")&amp;IF(AND($B248&gt;=Statement!$C$6,$B248&lt;=Statement!$C$7,N($L248)&lt;1),"Partial credit: "&amp;TEXT($L248,"0%"),""))</f>
        <v/>
      </c>
    </row>
    <row r="249">
      <c r="A249" s="19" t="n"/>
      <c r="B249" s="20" t="n"/>
      <c r="C249" s="19" t="n"/>
      <c r="D249" s="19" t="n"/>
      <c r="E249" s="21" t="n"/>
      <c r="F249" s="19" t="n"/>
      <c r="G249" s="22" t="n"/>
      <c r="H249" s="19" t="n"/>
      <c r="I249" s="22" t="n"/>
      <c r="J249" s="20" t="n"/>
      <c r="K249" s="19" t="n"/>
      <c r="L249" s="23">
        <f>IF($E249="","",IFERROR(VLOOKUP($D249,'Plan setup'!$A$17:$B$21,2,FALSE),0))</f>
        <v/>
      </c>
      <c r="M249" s="17">
        <f>IF($E249="","",$E249*$L249)</f>
        <v/>
      </c>
      <c r="N249" s="17">
        <f>IF(OR($E249="",$F249=""),0,$M249*$G249)</f>
        <v/>
      </c>
      <c r="O249" s="17">
        <f>IF(OR($E249="",$H249=""),0,$M249*$I249)</f>
        <v/>
      </c>
      <c r="P249">
        <f>IF($J249="","",IF($J249-$B249&lt;='Plan setup'!$B$5,"Reversed","Outside window"))</f>
        <v/>
      </c>
      <c r="Q249" s="24">
        <f>IF($P249="Reversed",$J249,"")</f>
        <v/>
      </c>
      <c r="R249">
        <f>IF($E249="","",IF(ABS($G249+IF($I249="",0,$I249)-1)&gt;0.0001,"Splits must total 100%",IF(COUNTIF('Plan setup'!$A$25:$A$34,$F249)=0,"Rep 1 not in Plan setup",IF(IF($H249="",FALSE,COUNTIF('Plan setup'!$A$25:$A$34,$H249)=0),"Rep 2 not in Plan setup",IF(COUNTIF('Plan setup'!$A$17:$A$21,$D249)=0,"Unknown deal type",IF($P249="Outside window","Clawback outside window: not reversed","OK"))))))</f>
        <v/>
      </c>
      <c r="S249">
        <f>AND(ISNUMBER($B249),OR($F249=Statement!$C$3,$H249=Statement!$C$3),OR(AND($B249&gt;=Statement!$C$6,$B249&lt;=Statement!$C$7),AND(ISNUMBER($Q249),$Q249&gt;=Statement!$C$6,$Q249&lt;=Statement!$C$7)))</f>
        <v/>
      </c>
      <c r="T249">
        <f>IF($S249,COUNTIF($S$2:$S249,TRUE),"")</f>
        <v/>
      </c>
      <c r="U249" s="17">
        <f>IF($F249=Statement!$C$3,$N249,0)+IF($H249=Statement!$C$3,$O249,0)</f>
        <v/>
      </c>
      <c r="V249" s="17">
        <f>IF(NOT($S249),0,IF(AND($B249&gt;=Statement!$C$6,$B249&lt;=Statement!$C$7),$U249,0)-IF(ISNUMBER($Q249),IF(AND($Q249&gt;=Statement!$C$6,$Q249&lt;=Statement!$C$7),$U249,0),0))</f>
        <v/>
      </c>
      <c r="W249" s="23">
        <f>IF($F249=Statement!$C$3,$G249,0)+IF($H249=Statement!$C$3,IF($I249="",0,$I249),0)</f>
        <v/>
      </c>
      <c r="X249">
        <f>IF(NOT($S249),"",IF(ISNUMBER($Q249),IF(AND($Q249&gt;=Statement!$C$6,$Q249&lt;=Statement!$C$7),"Clawback: credit reversed",""),"")&amp;IF(AND($B249&gt;=Statement!$C$6,$B249&lt;=Statement!$C$7,N($L249)&lt;1),"Partial credit: "&amp;TEXT($L249,"0%"),""))</f>
        <v/>
      </c>
    </row>
    <row r="250">
      <c r="A250" s="19" t="n"/>
      <c r="B250" s="20" t="n"/>
      <c r="C250" s="19" t="n"/>
      <c r="D250" s="19" t="n"/>
      <c r="E250" s="21" t="n"/>
      <c r="F250" s="19" t="n"/>
      <c r="G250" s="22" t="n"/>
      <c r="H250" s="19" t="n"/>
      <c r="I250" s="22" t="n"/>
      <c r="J250" s="20" t="n"/>
      <c r="K250" s="19" t="n"/>
      <c r="L250" s="23">
        <f>IF($E250="","",IFERROR(VLOOKUP($D250,'Plan setup'!$A$17:$B$21,2,FALSE),0))</f>
        <v/>
      </c>
      <c r="M250" s="17">
        <f>IF($E250="","",$E250*$L250)</f>
        <v/>
      </c>
      <c r="N250" s="17">
        <f>IF(OR($E250="",$F250=""),0,$M250*$G250)</f>
        <v/>
      </c>
      <c r="O250" s="17">
        <f>IF(OR($E250="",$H250=""),0,$M250*$I250)</f>
        <v/>
      </c>
      <c r="P250">
        <f>IF($J250="","",IF($J250-$B250&lt;='Plan setup'!$B$5,"Reversed","Outside window"))</f>
        <v/>
      </c>
      <c r="Q250" s="24">
        <f>IF($P250="Reversed",$J250,"")</f>
        <v/>
      </c>
      <c r="R250">
        <f>IF($E250="","",IF(ABS($G250+IF($I250="",0,$I250)-1)&gt;0.0001,"Splits must total 100%",IF(COUNTIF('Plan setup'!$A$25:$A$34,$F250)=0,"Rep 1 not in Plan setup",IF(IF($H250="",FALSE,COUNTIF('Plan setup'!$A$25:$A$34,$H250)=0),"Rep 2 not in Plan setup",IF(COUNTIF('Plan setup'!$A$17:$A$21,$D250)=0,"Unknown deal type",IF($P250="Outside window","Clawback outside window: not reversed","OK"))))))</f>
        <v/>
      </c>
      <c r="S250">
        <f>AND(ISNUMBER($B250),OR($F250=Statement!$C$3,$H250=Statement!$C$3),OR(AND($B250&gt;=Statement!$C$6,$B250&lt;=Statement!$C$7),AND(ISNUMBER($Q250),$Q250&gt;=Statement!$C$6,$Q250&lt;=Statement!$C$7)))</f>
        <v/>
      </c>
      <c r="T250">
        <f>IF($S250,COUNTIF($S$2:$S250,TRUE),"")</f>
        <v/>
      </c>
      <c r="U250" s="17">
        <f>IF($F250=Statement!$C$3,$N250,0)+IF($H250=Statement!$C$3,$O250,0)</f>
        <v/>
      </c>
      <c r="V250" s="17">
        <f>IF(NOT($S250),0,IF(AND($B250&gt;=Statement!$C$6,$B250&lt;=Statement!$C$7),$U250,0)-IF(ISNUMBER($Q250),IF(AND($Q250&gt;=Statement!$C$6,$Q250&lt;=Statement!$C$7),$U250,0),0))</f>
        <v/>
      </c>
      <c r="W250" s="23">
        <f>IF($F250=Statement!$C$3,$G250,0)+IF($H250=Statement!$C$3,IF($I250="",0,$I250),0)</f>
        <v/>
      </c>
      <c r="X250">
        <f>IF(NOT($S250),"",IF(ISNUMBER($Q250),IF(AND($Q250&gt;=Statement!$C$6,$Q250&lt;=Statement!$C$7),"Clawback: credit reversed",""),"")&amp;IF(AND($B250&gt;=Statement!$C$6,$B250&lt;=Statement!$C$7,N($L250)&lt;1),"Partial credit: "&amp;TEXT($L250,"0%"),""))</f>
        <v/>
      </c>
    </row>
    <row r="251">
      <c r="A251" s="19" t="n"/>
      <c r="B251" s="20" t="n"/>
      <c r="C251" s="19" t="n"/>
      <c r="D251" s="19" t="n"/>
      <c r="E251" s="21" t="n"/>
      <c r="F251" s="19" t="n"/>
      <c r="G251" s="22" t="n"/>
      <c r="H251" s="19" t="n"/>
      <c r="I251" s="22" t="n"/>
      <c r="J251" s="20" t="n"/>
      <c r="K251" s="19" t="n"/>
      <c r="L251" s="23">
        <f>IF($E251="","",IFERROR(VLOOKUP($D251,'Plan setup'!$A$17:$B$21,2,FALSE),0))</f>
        <v/>
      </c>
      <c r="M251" s="17">
        <f>IF($E251="","",$E251*$L251)</f>
        <v/>
      </c>
      <c r="N251" s="17">
        <f>IF(OR($E251="",$F251=""),0,$M251*$G251)</f>
        <v/>
      </c>
      <c r="O251" s="17">
        <f>IF(OR($E251="",$H251=""),0,$M251*$I251)</f>
        <v/>
      </c>
      <c r="P251">
        <f>IF($J251="","",IF($J251-$B251&lt;='Plan setup'!$B$5,"Reversed","Outside window"))</f>
        <v/>
      </c>
      <c r="Q251" s="24">
        <f>IF($P251="Reversed",$J251,"")</f>
        <v/>
      </c>
      <c r="R251">
        <f>IF($E251="","",IF(ABS($G251+IF($I251="",0,$I251)-1)&gt;0.0001,"Splits must total 100%",IF(COUNTIF('Plan setup'!$A$25:$A$34,$F251)=0,"Rep 1 not in Plan setup",IF(IF($H251="",FALSE,COUNTIF('Plan setup'!$A$25:$A$34,$H251)=0),"Rep 2 not in Plan setup",IF(COUNTIF('Plan setup'!$A$17:$A$21,$D251)=0,"Unknown deal type",IF($P251="Outside window","Clawback outside window: not reversed","OK"))))))</f>
        <v/>
      </c>
      <c r="S251">
        <f>AND(ISNUMBER($B251),OR($F251=Statement!$C$3,$H251=Statement!$C$3),OR(AND($B251&gt;=Statement!$C$6,$B251&lt;=Statement!$C$7),AND(ISNUMBER($Q251),$Q251&gt;=Statement!$C$6,$Q251&lt;=Statement!$C$7)))</f>
        <v/>
      </c>
      <c r="T251">
        <f>IF($S251,COUNTIF($S$2:$S251,TRUE),"")</f>
        <v/>
      </c>
      <c r="U251" s="17">
        <f>IF($F251=Statement!$C$3,$N251,0)+IF($H251=Statement!$C$3,$O251,0)</f>
        <v/>
      </c>
      <c r="V251" s="17">
        <f>IF(NOT($S251),0,IF(AND($B251&gt;=Statement!$C$6,$B251&lt;=Statement!$C$7),$U251,0)-IF(ISNUMBER($Q251),IF(AND($Q251&gt;=Statement!$C$6,$Q251&lt;=Statement!$C$7),$U251,0),0))</f>
        <v/>
      </c>
      <c r="W251" s="23">
        <f>IF($F251=Statement!$C$3,$G251,0)+IF($H251=Statement!$C$3,IF($I251="",0,$I251),0)</f>
        <v/>
      </c>
      <c r="X251">
        <f>IF(NOT($S251),"",IF(ISNUMBER($Q251),IF(AND($Q251&gt;=Statement!$C$6,$Q251&lt;=Statement!$C$7),"Clawback: credit reversed",""),"")&amp;IF(AND($B251&gt;=Statement!$C$6,$B251&lt;=Statement!$C$7,N($L251)&lt;1),"Partial credit: "&amp;TEXT($L251,"0%"),""))</f>
        <v/>
      </c>
    </row>
    <row r="252">
      <c r="A252" s="19" t="n"/>
      <c r="B252" s="20" t="n"/>
      <c r="C252" s="19" t="n"/>
      <c r="D252" s="19" t="n"/>
      <c r="E252" s="21" t="n"/>
      <c r="F252" s="19" t="n"/>
      <c r="G252" s="22" t="n"/>
      <c r="H252" s="19" t="n"/>
      <c r="I252" s="22" t="n"/>
      <c r="J252" s="20" t="n"/>
      <c r="K252" s="19" t="n"/>
      <c r="L252" s="23">
        <f>IF($E252="","",IFERROR(VLOOKUP($D252,'Plan setup'!$A$17:$B$21,2,FALSE),0))</f>
        <v/>
      </c>
      <c r="M252" s="17">
        <f>IF($E252="","",$E252*$L252)</f>
        <v/>
      </c>
      <c r="N252" s="17">
        <f>IF(OR($E252="",$F252=""),0,$M252*$G252)</f>
        <v/>
      </c>
      <c r="O252" s="17">
        <f>IF(OR($E252="",$H252=""),0,$M252*$I252)</f>
        <v/>
      </c>
      <c r="P252">
        <f>IF($J252="","",IF($J252-$B252&lt;='Plan setup'!$B$5,"Reversed","Outside window"))</f>
        <v/>
      </c>
      <c r="Q252" s="24">
        <f>IF($P252="Reversed",$J252,"")</f>
        <v/>
      </c>
      <c r="R252">
        <f>IF($E252="","",IF(ABS($G252+IF($I252="",0,$I252)-1)&gt;0.0001,"Splits must total 100%",IF(COUNTIF('Plan setup'!$A$25:$A$34,$F252)=0,"Rep 1 not in Plan setup",IF(IF($H252="",FALSE,COUNTIF('Plan setup'!$A$25:$A$34,$H252)=0),"Rep 2 not in Plan setup",IF(COUNTIF('Plan setup'!$A$17:$A$21,$D252)=0,"Unknown deal type",IF($P252="Outside window","Clawback outside window: not reversed","OK"))))))</f>
        <v/>
      </c>
      <c r="S252">
        <f>AND(ISNUMBER($B252),OR($F252=Statement!$C$3,$H252=Statement!$C$3),OR(AND($B252&gt;=Statement!$C$6,$B252&lt;=Statement!$C$7),AND(ISNUMBER($Q252),$Q252&gt;=Statement!$C$6,$Q252&lt;=Statement!$C$7)))</f>
        <v/>
      </c>
      <c r="T252">
        <f>IF($S252,COUNTIF($S$2:$S252,TRUE),"")</f>
        <v/>
      </c>
      <c r="U252" s="17">
        <f>IF($F252=Statement!$C$3,$N252,0)+IF($H252=Statement!$C$3,$O252,0)</f>
        <v/>
      </c>
      <c r="V252" s="17">
        <f>IF(NOT($S252),0,IF(AND($B252&gt;=Statement!$C$6,$B252&lt;=Statement!$C$7),$U252,0)-IF(ISNUMBER($Q252),IF(AND($Q252&gt;=Statement!$C$6,$Q252&lt;=Statement!$C$7),$U252,0),0))</f>
        <v/>
      </c>
      <c r="W252" s="23">
        <f>IF($F252=Statement!$C$3,$G252,0)+IF($H252=Statement!$C$3,IF($I252="",0,$I252),0)</f>
        <v/>
      </c>
      <c r="X252">
        <f>IF(NOT($S252),"",IF(ISNUMBER($Q252),IF(AND($Q252&gt;=Statement!$C$6,$Q252&lt;=Statement!$C$7),"Clawback: credit reversed",""),"")&amp;IF(AND($B252&gt;=Statement!$C$6,$B252&lt;=Statement!$C$7,N($L252)&lt;1),"Partial credit: "&amp;TEXT($L252,"0%"),""))</f>
        <v/>
      </c>
    </row>
    <row r="253">
      <c r="A253" s="19" t="n"/>
      <c r="B253" s="20" t="n"/>
      <c r="C253" s="19" t="n"/>
      <c r="D253" s="19" t="n"/>
      <c r="E253" s="21" t="n"/>
      <c r="F253" s="19" t="n"/>
      <c r="G253" s="22" t="n"/>
      <c r="H253" s="19" t="n"/>
      <c r="I253" s="22" t="n"/>
      <c r="J253" s="20" t="n"/>
      <c r="K253" s="19" t="n"/>
      <c r="L253" s="23">
        <f>IF($E253="","",IFERROR(VLOOKUP($D253,'Plan setup'!$A$17:$B$21,2,FALSE),0))</f>
        <v/>
      </c>
      <c r="M253" s="17">
        <f>IF($E253="","",$E253*$L253)</f>
        <v/>
      </c>
      <c r="N253" s="17">
        <f>IF(OR($E253="",$F253=""),0,$M253*$G253)</f>
        <v/>
      </c>
      <c r="O253" s="17">
        <f>IF(OR($E253="",$H253=""),0,$M253*$I253)</f>
        <v/>
      </c>
      <c r="P253">
        <f>IF($J253="","",IF($J253-$B253&lt;='Plan setup'!$B$5,"Reversed","Outside window"))</f>
        <v/>
      </c>
      <c r="Q253" s="24">
        <f>IF($P253="Reversed",$J253,"")</f>
        <v/>
      </c>
      <c r="R253">
        <f>IF($E253="","",IF(ABS($G253+IF($I253="",0,$I253)-1)&gt;0.0001,"Splits must total 100%",IF(COUNTIF('Plan setup'!$A$25:$A$34,$F253)=0,"Rep 1 not in Plan setup",IF(IF($H253="",FALSE,COUNTIF('Plan setup'!$A$25:$A$34,$H253)=0),"Rep 2 not in Plan setup",IF(COUNTIF('Plan setup'!$A$17:$A$21,$D253)=0,"Unknown deal type",IF($P253="Outside window","Clawback outside window: not reversed","OK"))))))</f>
        <v/>
      </c>
      <c r="S253">
        <f>AND(ISNUMBER($B253),OR($F253=Statement!$C$3,$H253=Statement!$C$3),OR(AND($B253&gt;=Statement!$C$6,$B253&lt;=Statement!$C$7),AND(ISNUMBER($Q253),$Q253&gt;=Statement!$C$6,$Q253&lt;=Statement!$C$7)))</f>
        <v/>
      </c>
      <c r="T253">
        <f>IF($S253,COUNTIF($S$2:$S253,TRUE),"")</f>
        <v/>
      </c>
      <c r="U253" s="17">
        <f>IF($F253=Statement!$C$3,$N253,0)+IF($H253=Statement!$C$3,$O253,0)</f>
        <v/>
      </c>
      <c r="V253" s="17">
        <f>IF(NOT($S253),0,IF(AND($B253&gt;=Statement!$C$6,$B253&lt;=Statement!$C$7),$U253,0)-IF(ISNUMBER($Q253),IF(AND($Q253&gt;=Statement!$C$6,$Q253&lt;=Statement!$C$7),$U253,0),0))</f>
        <v/>
      </c>
      <c r="W253" s="23">
        <f>IF($F253=Statement!$C$3,$G253,0)+IF($H253=Statement!$C$3,IF($I253="",0,$I253),0)</f>
        <v/>
      </c>
      <c r="X253">
        <f>IF(NOT($S253),"",IF(ISNUMBER($Q253),IF(AND($Q253&gt;=Statement!$C$6,$Q253&lt;=Statement!$C$7),"Clawback: credit reversed",""),"")&amp;IF(AND($B253&gt;=Statement!$C$6,$B253&lt;=Statement!$C$7,N($L253)&lt;1),"Partial credit: "&amp;TEXT($L253,"0%"),""))</f>
        <v/>
      </c>
    </row>
    <row r="254">
      <c r="A254" s="19" t="n"/>
      <c r="B254" s="20" t="n"/>
      <c r="C254" s="19" t="n"/>
      <c r="D254" s="19" t="n"/>
      <c r="E254" s="21" t="n"/>
      <c r="F254" s="19" t="n"/>
      <c r="G254" s="22" t="n"/>
      <c r="H254" s="19" t="n"/>
      <c r="I254" s="22" t="n"/>
      <c r="J254" s="20" t="n"/>
      <c r="K254" s="19" t="n"/>
      <c r="L254" s="23">
        <f>IF($E254="","",IFERROR(VLOOKUP($D254,'Plan setup'!$A$17:$B$21,2,FALSE),0))</f>
        <v/>
      </c>
      <c r="M254" s="17">
        <f>IF($E254="","",$E254*$L254)</f>
        <v/>
      </c>
      <c r="N254" s="17">
        <f>IF(OR($E254="",$F254=""),0,$M254*$G254)</f>
        <v/>
      </c>
      <c r="O254" s="17">
        <f>IF(OR($E254="",$H254=""),0,$M254*$I254)</f>
        <v/>
      </c>
      <c r="P254">
        <f>IF($J254="","",IF($J254-$B254&lt;='Plan setup'!$B$5,"Reversed","Outside window"))</f>
        <v/>
      </c>
      <c r="Q254" s="24">
        <f>IF($P254="Reversed",$J254,"")</f>
        <v/>
      </c>
      <c r="R254">
        <f>IF($E254="","",IF(ABS($G254+IF($I254="",0,$I254)-1)&gt;0.0001,"Splits must total 100%",IF(COUNTIF('Plan setup'!$A$25:$A$34,$F254)=0,"Rep 1 not in Plan setup",IF(IF($H254="",FALSE,COUNTIF('Plan setup'!$A$25:$A$34,$H254)=0),"Rep 2 not in Plan setup",IF(COUNTIF('Plan setup'!$A$17:$A$21,$D254)=0,"Unknown deal type",IF($P254="Outside window","Clawback outside window: not reversed","OK"))))))</f>
        <v/>
      </c>
      <c r="S254">
        <f>AND(ISNUMBER($B254),OR($F254=Statement!$C$3,$H254=Statement!$C$3),OR(AND($B254&gt;=Statement!$C$6,$B254&lt;=Statement!$C$7),AND(ISNUMBER($Q254),$Q254&gt;=Statement!$C$6,$Q254&lt;=Statement!$C$7)))</f>
        <v/>
      </c>
      <c r="T254">
        <f>IF($S254,COUNTIF($S$2:$S254,TRUE),"")</f>
        <v/>
      </c>
      <c r="U254" s="17">
        <f>IF($F254=Statement!$C$3,$N254,0)+IF($H254=Statement!$C$3,$O254,0)</f>
        <v/>
      </c>
      <c r="V254" s="17">
        <f>IF(NOT($S254),0,IF(AND($B254&gt;=Statement!$C$6,$B254&lt;=Statement!$C$7),$U254,0)-IF(ISNUMBER($Q254),IF(AND($Q254&gt;=Statement!$C$6,$Q254&lt;=Statement!$C$7),$U254,0),0))</f>
        <v/>
      </c>
      <c r="W254" s="23">
        <f>IF($F254=Statement!$C$3,$G254,0)+IF($H254=Statement!$C$3,IF($I254="",0,$I254),0)</f>
        <v/>
      </c>
      <c r="X254">
        <f>IF(NOT($S254),"",IF(ISNUMBER($Q254),IF(AND($Q254&gt;=Statement!$C$6,$Q254&lt;=Statement!$C$7),"Clawback: credit reversed",""),"")&amp;IF(AND($B254&gt;=Statement!$C$6,$B254&lt;=Statement!$C$7,N($L254)&lt;1),"Partial credit: "&amp;TEXT($L254,"0%"),""))</f>
        <v/>
      </c>
    </row>
    <row r="255">
      <c r="A255" s="19" t="n"/>
      <c r="B255" s="20" t="n"/>
      <c r="C255" s="19" t="n"/>
      <c r="D255" s="19" t="n"/>
      <c r="E255" s="21" t="n"/>
      <c r="F255" s="19" t="n"/>
      <c r="G255" s="22" t="n"/>
      <c r="H255" s="19" t="n"/>
      <c r="I255" s="22" t="n"/>
      <c r="J255" s="20" t="n"/>
      <c r="K255" s="19" t="n"/>
      <c r="L255" s="23">
        <f>IF($E255="","",IFERROR(VLOOKUP($D255,'Plan setup'!$A$17:$B$21,2,FALSE),0))</f>
        <v/>
      </c>
      <c r="M255" s="17">
        <f>IF($E255="","",$E255*$L255)</f>
        <v/>
      </c>
      <c r="N255" s="17">
        <f>IF(OR($E255="",$F255=""),0,$M255*$G255)</f>
        <v/>
      </c>
      <c r="O255" s="17">
        <f>IF(OR($E255="",$H255=""),0,$M255*$I255)</f>
        <v/>
      </c>
      <c r="P255">
        <f>IF($J255="","",IF($J255-$B255&lt;='Plan setup'!$B$5,"Reversed","Outside window"))</f>
        <v/>
      </c>
      <c r="Q255" s="24">
        <f>IF($P255="Reversed",$J255,"")</f>
        <v/>
      </c>
      <c r="R255">
        <f>IF($E255="","",IF(ABS($G255+IF($I255="",0,$I255)-1)&gt;0.0001,"Splits must total 100%",IF(COUNTIF('Plan setup'!$A$25:$A$34,$F255)=0,"Rep 1 not in Plan setup",IF(IF($H255="",FALSE,COUNTIF('Plan setup'!$A$25:$A$34,$H255)=0),"Rep 2 not in Plan setup",IF(COUNTIF('Plan setup'!$A$17:$A$21,$D255)=0,"Unknown deal type",IF($P255="Outside window","Clawback outside window: not reversed","OK"))))))</f>
        <v/>
      </c>
      <c r="S255">
        <f>AND(ISNUMBER($B255),OR($F255=Statement!$C$3,$H255=Statement!$C$3),OR(AND($B255&gt;=Statement!$C$6,$B255&lt;=Statement!$C$7),AND(ISNUMBER($Q255),$Q255&gt;=Statement!$C$6,$Q255&lt;=Statement!$C$7)))</f>
        <v/>
      </c>
      <c r="T255">
        <f>IF($S255,COUNTIF($S$2:$S255,TRUE),"")</f>
        <v/>
      </c>
      <c r="U255" s="17">
        <f>IF($F255=Statement!$C$3,$N255,0)+IF($H255=Statement!$C$3,$O255,0)</f>
        <v/>
      </c>
      <c r="V255" s="17">
        <f>IF(NOT($S255),0,IF(AND($B255&gt;=Statement!$C$6,$B255&lt;=Statement!$C$7),$U255,0)-IF(ISNUMBER($Q255),IF(AND($Q255&gt;=Statement!$C$6,$Q255&lt;=Statement!$C$7),$U255,0),0))</f>
        <v/>
      </c>
      <c r="W255" s="23">
        <f>IF($F255=Statement!$C$3,$G255,0)+IF($H255=Statement!$C$3,IF($I255="",0,$I255),0)</f>
        <v/>
      </c>
      <c r="X255">
        <f>IF(NOT($S255),"",IF(ISNUMBER($Q255),IF(AND($Q255&gt;=Statement!$C$6,$Q255&lt;=Statement!$C$7),"Clawback: credit reversed",""),"")&amp;IF(AND($B255&gt;=Statement!$C$6,$B255&lt;=Statement!$C$7,N($L255)&lt;1),"Partial credit: "&amp;TEXT($L255,"0%"),""))</f>
        <v/>
      </c>
    </row>
    <row r="256">
      <c r="A256" s="19" t="n"/>
      <c r="B256" s="20" t="n"/>
      <c r="C256" s="19" t="n"/>
      <c r="D256" s="19" t="n"/>
      <c r="E256" s="21" t="n"/>
      <c r="F256" s="19" t="n"/>
      <c r="G256" s="22" t="n"/>
      <c r="H256" s="19" t="n"/>
      <c r="I256" s="22" t="n"/>
      <c r="J256" s="20" t="n"/>
      <c r="K256" s="19" t="n"/>
      <c r="L256" s="23">
        <f>IF($E256="","",IFERROR(VLOOKUP($D256,'Plan setup'!$A$17:$B$21,2,FALSE),0))</f>
        <v/>
      </c>
      <c r="M256" s="17">
        <f>IF($E256="","",$E256*$L256)</f>
        <v/>
      </c>
      <c r="N256" s="17">
        <f>IF(OR($E256="",$F256=""),0,$M256*$G256)</f>
        <v/>
      </c>
      <c r="O256" s="17">
        <f>IF(OR($E256="",$H256=""),0,$M256*$I256)</f>
        <v/>
      </c>
      <c r="P256">
        <f>IF($J256="","",IF($J256-$B256&lt;='Plan setup'!$B$5,"Reversed","Outside window"))</f>
        <v/>
      </c>
      <c r="Q256" s="24">
        <f>IF($P256="Reversed",$J256,"")</f>
        <v/>
      </c>
      <c r="R256">
        <f>IF($E256="","",IF(ABS($G256+IF($I256="",0,$I256)-1)&gt;0.0001,"Splits must total 100%",IF(COUNTIF('Plan setup'!$A$25:$A$34,$F256)=0,"Rep 1 not in Plan setup",IF(IF($H256="",FALSE,COUNTIF('Plan setup'!$A$25:$A$34,$H256)=0),"Rep 2 not in Plan setup",IF(COUNTIF('Plan setup'!$A$17:$A$21,$D256)=0,"Unknown deal type",IF($P256="Outside window","Clawback outside window: not reversed","OK"))))))</f>
        <v/>
      </c>
      <c r="S256">
        <f>AND(ISNUMBER($B256),OR($F256=Statement!$C$3,$H256=Statement!$C$3),OR(AND($B256&gt;=Statement!$C$6,$B256&lt;=Statement!$C$7),AND(ISNUMBER($Q256),$Q256&gt;=Statement!$C$6,$Q256&lt;=Statement!$C$7)))</f>
        <v/>
      </c>
      <c r="T256">
        <f>IF($S256,COUNTIF($S$2:$S256,TRUE),"")</f>
        <v/>
      </c>
      <c r="U256" s="17">
        <f>IF($F256=Statement!$C$3,$N256,0)+IF($H256=Statement!$C$3,$O256,0)</f>
        <v/>
      </c>
      <c r="V256" s="17">
        <f>IF(NOT($S256),0,IF(AND($B256&gt;=Statement!$C$6,$B256&lt;=Statement!$C$7),$U256,0)-IF(ISNUMBER($Q256),IF(AND($Q256&gt;=Statement!$C$6,$Q256&lt;=Statement!$C$7),$U256,0),0))</f>
        <v/>
      </c>
      <c r="W256" s="23">
        <f>IF($F256=Statement!$C$3,$G256,0)+IF($H256=Statement!$C$3,IF($I256="",0,$I256),0)</f>
        <v/>
      </c>
      <c r="X256">
        <f>IF(NOT($S256),"",IF(ISNUMBER($Q256),IF(AND($Q256&gt;=Statement!$C$6,$Q256&lt;=Statement!$C$7),"Clawback: credit reversed",""),"")&amp;IF(AND($B256&gt;=Statement!$C$6,$B256&lt;=Statement!$C$7,N($L256)&lt;1),"Partial credit: "&amp;TEXT($L256,"0%"),""))</f>
        <v/>
      </c>
    </row>
    <row r="257">
      <c r="A257" s="19" t="n"/>
      <c r="B257" s="20" t="n"/>
      <c r="C257" s="19" t="n"/>
      <c r="D257" s="19" t="n"/>
      <c r="E257" s="21" t="n"/>
      <c r="F257" s="19" t="n"/>
      <c r="G257" s="22" t="n"/>
      <c r="H257" s="19" t="n"/>
      <c r="I257" s="22" t="n"/>
      <c r="J257" s="20" t="n"/>
      <c r="K257" s="19" t="n"/>
      <c r="L257" s="23">
        <f>IF($E257="","",IFERROR(VLOOKUP($D257,'Plan setup'!$A$17:$B$21,2,FALSE),0))</f>
        <v/>
      </c>
      <c r="M257" s="17">
        <f>IF($E257="","",$E257*$L257)</f>
        <v/>
      </c>
      <c r="N257" s="17">
        <f>IF(OR($E257="",$F257=""),0,$M257*$G257)</f>
        <v/>
      </c>
      <c r="O257" s="17">
        <f>IF(OR($E257="",$H257=""),0,$M257*$I257)</f>
        <v/>
      </c>
      <c r="P257">
        <f>IF($J257="","",IF($J257-$B257&lt;='Plan setup'!$B$5,"Reversed","Outside window"))</f>
        <v/>
      </c>
      <c r="Q257" s="24">
        <f>IF($P257="Reversed",$J257,"")</f>
        <v/>
      </c>
      <c r="R257">
        <f>IF($E257="","",IF(ABS($G257+IF($I257="",0,$I257)-1)&gt;0.0001,"Splits must total 100%",IF(COUNTIF('Plan setup'!$A$25:$A$34,$F257)=0,"Rep 1 not in Plan setup",IF(IF($H257="",FALSE,COUNTIF('Plan setup'!$A$25:$A$34,$H257)=0),"Rep 2 not in Plan setup",IF(COUNTIF('Plan setup'!$A$17:$A$21,$D257)=0,"Unknown deal type",IF($P257="Outside window","Clawback outside window: not reversed","OK"))))))</f>
        <v/>
      </c>
      <c r="S257">
        <f>AND(ISNUMBER($B257),OR($F257=Statement!$C$3,$H257=Statement!$C$3),OR(AND($B257&gt;=Statement!$C$6,$B257&lt;=Statement!$C$7),AND(ISNUMBER($Q257),$Q257&gt;=Statement!$C$6,$Q257&lt;=Statement!$C$7)))</f>
        <v/>
      </c>
      <c r="T257">
        <f>IF($S257,COUNTIF($S$2:$S257,TRUE),"")</f>
        <v/>
      </c>
      <c r="U257" s="17">
        <f>IF($F257=Statement!$C$3,$N257,0)+IF($H257=Statement!$C$3,$O257,0)</f>
        <v/>
      </c>
      <c r="V257" s="17">
        <f>IF(NOT($S257),0,IF(AND($B257&gt;=Statement!$C$6,$B257&lt;=Statement!$C$7),$U257,0)-IF(ISNUMBER($Q257),IF(AND($Q257&gt;=Statement!$C$6,$Q257&lt;=Statement!$C$7),$U257,0),0))</f>
        <v/>
      </c>
      <c r="W257" s="23">
        <f>IF($F257=Statement!$C$3,$G257,0)+IF($H257=Statement!$C$3,IF($I257="",0,$I257),0)</f>
        <v/>
      </c>
      <c r="X257">
        <f>IF(NOT($S257),"",IF(ISNUMBER($Q257),IF(AND($Q257&gt;=Statement!$C$6,$Q257&lt;=Statement!$C$7),"Clawback: credit reversed",""),"")&amp;IF(AND($B257&gt;=Statement!$C$6,$B257&lt;=Statement!$C$7,N($L257)&lt;1),"Partial credit: "&amp;TEXT($L257,"0%"),""))</f>
        <v/>
      </c>
    </row>
    <row r="258">
      <c r="A258" s="19" t="n"/>
      <c r="B258" s="20" t="n"/>
      <c r="C258" s="19" t="n"/>
      <c r="D258" s="19" t="n"/>
      <c r="E258" s="21" t="n"/>
      <c r="F258" s="19" t="n"/>
      <c r="G258" s="22" t="n"/>
      <c r="H258" s="19" t="n"/>
      <c r="I258" s="22" t="n"/>
      <c r="J258" s="20" t="n"/>
      <c r="K258" s="19" t="n"/>
      <c r="L258" s="23">
        <f>IF($E258="","",IFERROR(VLOOKUP($D258,'Plan setup'!$A$17:$B$21,2,FALSE),0))</f>
        <v/>
      </c>
      <c r="M258" s="17">
        <f>IF($E258="","",$E258*$L258)</f>
        <v/>
      </c>
      <c r="N258" s="17">
        <f>IF(OR($E258="",$F258=""),0,$M258*$G258)</f>
        <v/>
      </c>
      <c r="O258" s="17">
        <f>IF(OR($E258="",$H258=""),0,$M258*$I258)</f>
        <v/>
      </c>
      <c r="P258">
        <f>IF($J258="","",IF($J258-$B258&lt;='Plan setup'!$B$5,"Reversed","Outside window"))</f>
        <v/>
      </c>
      <c r="Q258" s="24">
        <f>IF($P258="Reversed",$J258,"")</f>
        <v/>
      </c>
      <c r="R258">
        <f>IF($E258="","",IF(ABS($G258+IF($I258="",0,$I258)-1)&gt;0.0001,"Splits must total 100%",IF(COUNTIF('Plan setup'!$A$25:$A$34,$F258)=0,"Rep 1 not in Plan setup",IF(IF($H258="",FALSE,COUNTIF('Plan setup'!$A$25:$A$34,$H258)=0),"Rep 2 not in Plan setup",IF(COUNTIF('Plan setup'!$A$17:$A$21,$D258)=0,"Unknown deal type",IF($P258="Outside window","Clawback outside window: not reversed","OK"))))))</f>
        <v/>
      </c>
      <c r="S258">
        <f>AND(ISNUMBER($B258),OR($F258=Statement!$C$3,$H258=Statement!$C$3),OR(AND($B258&gt;=Statement!$C$6,$B258&lt;=Statement!$C$7),AND(ISNUMBER($Q258),$Q258&gt;=Statement!$C$6,$Q258&lt;=Statement!$C$7)))</f>
        <v/>
      </c>
      <c r="T258">
        <f>IF($S258,COUNTIF($S$2:$S258,TRUE),"")</f>
        <v/>
      </c>
      <c r="U258" s="17">
        <f>IF($F258=Statement!$C$3,$N258,0)+IF($H258=Statement!$C$3,$O258,0)</f>
        <v/>
      </c>
      <c r="V258" s="17">
        <f>IF(NOT($S258),0,IF(AND($B258&gt;=Statement!$C$6,$B258&lt;=Statement!$C$7),$U258,0)-IF(ISNUMBER($Q258),IF(AND($Q258&gt;=Statement!$C$6,$Q258&lt;=Statement!$C$7),$U258,0),0))</f>
        <v/>
      </c>
      <c r="W258" s="23">
        <f>IF($F258=Statement!$C$3,$G258,0)+IF($H258=Statement!$C$3,IF($I258="",0,$I258),0)</f>
        <v/>
      </c>
      <c r="X258">
        <f>IF(NOT($S258),"",IF(ISNUMBER($Q258),IF(AND($Q258&gt;=Statement!$C$6,$Q258&lt;=Statement!$C$7),"Clawback: credit reversed",""),"")&amp;IF(AND($B258&gt;=Statement!$C$6,$B258&lt;=Statement!$C$7,N($L258)&lt;1),"Partial credit: "&amp;TEXT($L258,"0%"),""))</f>
        <v/>
      </c>
    </row>
    <row r="259">
      <c r="A259" s="19" t="n"/>
      <c r="B259" s="20" t="n"/>
      <c r="C259" s="19" t="n"/>
      <c r="D259" s="19" t="n"/>
      <c r="E259" s="21" t="n"/>
      <c r="F259" s="19" t="n"/>
      <c r="G259" s="22" t="n"/>
      <c r="H259" s="19" t="n"/>
      <c r="I259" s="22" t="n"/>
      <c r="J259" s="20" t="n"/>
      <c r="K259" s="19" t="n"/>
      <c r="L259" s="23">
        <f>IF($E259="","",IFERROR(VLOOKUP($D259,'Plan setup'!$A$17:$B$21,2,FALSE),0))</f>
        <v/>
      </c>
      <c r="M259" s="17">
        <f>IF($E259="","",$E259*$L259)</f>
        <v/>
      </c>
      <c r="N259" s="17">
        <f>IF(OR($E259="",$F259=""),0,$M259*$G259)</f>
        <v/>
      </c>
      <c r="O259" s="17">
        <f>IF(OR($E259="",$H259=""),0,$M259*$I259)</f>
        <v/>
      </c>
      <c r="P259">
        <f>IF($J259="","",IF($J259-$B259&lt;='Plan setup'!$B$5,"Reversed","Outside window"))</f>
        <v/>
      </c>
      <c r="Q259" s="24">
        <f>IF($P259="Reversed",$J259,"")</f>
        <v/>
      </c>
      <c r="R259">
        <f>IF($E259="","",IF(ABS($G259+IF($I259="",0,$I259)-1)&gt;0.0001,"Splits must total 100%",IF(COUNTIF('Plan setup'!$A$25:$A$34,$F259)=0,"Rep 1 not in Plan setup",IF(IF($H259="",FALSE,COUNTIF('Plan setup'!$A$25:$A$34,$H259)=0),"Rep 2 not in Plan setup",IF(COUNTIF('Plan setup'!$A$17:$A$21,$D259)=0,"Unknown deal type",IF($P259="Outside window","Clawback outside window: not reversed","OK"))))))</f>
        <v/>
      </c>
      <c r="S259">
        <f>AND(ISNUMBER($B259),OR($F259=Statement!$C$3,$H259=Statement!$C$3),OR(AND($B259&gt;=Statement!$C$6,$B259&lt;=Statement!$C$7),AND(ISNUMBER($Q259),$Q259&gt;=Statement!$C$6,$Q259&lt;=Statement!$C$7)))</f>
        <v/>
      </c>
      <c r="T259">
        <f>IF($S259,COUNTIF($S$2:$S259,TRUE),"")</f>
        <v/>
      </c>
      <c r="U259" s="17">
        <f>IF($F259=Statement!$C$3,$N259,0)+IF($H259=Statement!$C$3,$O259,0)</f>
        <v/>
      </c>
      <c r="V259" s="17">
        <f>IF(NOT($S259),0,IF(AND($B259&gt;=Statement!$C$6,$B259&lt;=Statement!$C$7),$U259,0)-IF(ISNUMBER($Q259),IF(AND($Q259&gt;=Statement!$C$6,$Q259&lt;=Statement!$C$7),$U259,0),0))</f>
        <v/>
      </c>
      <c r="W259" s="23">
        <f>IF($F259=Statement!$C$3,$G259,0)+IF($H259=Statement!$C$3,IF($I259="",0,$I259),0)</f>
        <v/>
      </c>
      <c r="X259">
        <f>IF(NOT($S259),"",IF(ISNUMBER($Q259),IF(AND($Q259&gt;=Statement!$C$6,$Q259&lt;=Statement!$C$7),"Clawback: credit reversed",""),"")&amp;IF(AND($B259&gt;=Statement!$C$6,$B259&lt;=Statement!$C$7,N($L259)&lt;1),"Partial credit: "&amp;TEXT($L259,"0%"),""))</f>
        <v/>
      </c>
    </row>
    <row r="260">
      <c r="A260" s="19" t="n"/>
      <c r="B260" s="20" t="n"/>
      <c r="C260" s="19" t="n"/>
      <c r="D260" s="19" t="n"/>
      <c r="E260" s="21" t="n"/>
      <c r="F260" s="19" t="n"/>
      <c r="G260" s="22" t="n"/>
      <c r="H260" s="19" t="n"/>
      <c r="I260" s="22" t="n"/>
      <c r="J260" s="20" t="n"/>
      <c r="K260" s="19" t="n"/>
      <c r="L260" s="23">
        <f>IF($E260="","",IFERROR(VLOOKUP($D260,'Plan setup'!$A$17:$B$21,2,FALSE),0))</f>
        <v/>
      </c>
      <c r="M260" s="17">
        <f>IF($E260="","",$E260*$L260)</f>
        <v/>
      </c>
      <c r="N260" s="17">
        <f>IF(OR($E260="",$F260=""),0,$M260*$G260)</f>
        <v/>
      </c>
      <c r="O260" s="17">
        <f>IF(OR($E260="",$H260=""),0,$M260*$I260)</f>
        <v/>
      </c>
      <c r="P260">
        <f>IF($J260="","",IF($J260-$B260&lt;='Plan setup'!$B$5,"Reversed","Outside window"))</f>
        <v/>
      </c>
      <c r="Q260" s="24">
        <f>IF($P260="Reversed",$J260,"")</f>
        <v/>
      </c>
      <c r="R260">
        <f>IF($E260="","",IF(ABS($G260+IF($I260="",0,$I260)-1)&gt;0.0001,"Splits must total 100%",IF(COUNTIF('Plan setup'!$A$25:$A$34,$F260)=0,"Rep 1 not in Plan setup",IF(IF($H260="",FALSE,COUNTIF('Plan setup'!$A$25:$A$34,$H260)=0),"Rep 2 not in Plan setup",IF(COUNTIF('Plan setup'!$A$17:$A$21,$D260)=0,"Unknown deal type",IF($P260="Outside window","Clawback outside window: not reversed","OK"))))))</f>
        <v/>
      </c>
      <c r="S260">
        <f>AND(ISNUMBER($B260),OR($F260=Statement!$C$3,$H260=Statement!$C$3),OR(AND($B260&gt;=Statement!$C$6,$B260&lt;=Statement!$C$7),AND(ISNUMBER($Q260),$Q260&gt;=Statement!$C$6,$Q260&lt;=Statement!$C$7)))</f>
        <v/>
      </c>
      <c r="T260">
        <f>IF($S260,COUNTIF($S$2:$S260,TRUE),"")</f>
        <v/>
      </c>
      <c r="U260" s="17">
        <f>IF($F260=Statement!$C$3,$N260,0)+IF($H260=Statement!$C$3,$O260,0)</f>
        <v/>
      </c>
      <c r="V260" s="17">
        <f>IF(NOT($S260),0,IF(AND($B260&gt;=Statement!$C$6,$B260&lt;=Statement!$C$7),$U260,0)-IF(ISNUMBER($Q260),IF(AND($Q260&gt;=Statement!$C$6,$Q260&lt;=Statement!$C$7),$U260,0),0))</f>
        <v/>
      </c>
      <c r="W260" s="23">
        <f>IF($F260=Statement!$C$3,$G260,0)+IF($H260=Statement!$C$3,IF($I260="",0,$I260),0)</f>
        <v/>
      </c>
      <c r="X260">
        <f>IF(NOT($S260),"",IF(ISNUMBER($Q260),IF(AND($Q260&gt;=Statement!$C$6,$Q260&lt;=Statement!$C$7),"Clawback: credit reversed",""),"")&amp;IF(AND($B260&gt;=Statement!$C$6,$B260&lt;=Statement!$C$7,N($L260)&lt;1),"Partial credit: "&amp;TEXT($L260,"0%"),""))</f>
        <v/>
      </c>
    </row>
    <row r="261">
      <c r="A261" s="19" t="n"/>
      <c r="B261" s="20" t="n"/>
      <c r="C261" s="19" t="n"/>
      <c r="D261" s="19" t="n"/>
      <c r="E261" s="21" t="n"/>
      <c r="F261" s="19" t="n"/>
      <c r="G261" s="22" t="n"/>
      <c r="H261" s="19" t="n"/>
      <c r="I261" s="22" t="n"/>
      <c r="J261" s="20" t="n"/>
      <c r="K261" s="19" t="n"/>
      <c r="L261" s="23">
        <f>IF($E261="","",IFERROR(VLOOKUP($D261,'Plan setup'!$A$17:$B$21,2,FALSE),0))</f>
        <v/>
      </c>
      <c r="M261" s="17">
        <f>IF($E261="","",$E261*$L261)</f>
        <v/>
      </c>
      <c r="N261" s="17">
        <f>IF(OR($E261="",$F261=""),0,$M261*$G261)</f>
        <v/>
      </c>
      <c r="O261" s="17">
        <f>IF(OR($E261="",$H261=""),0,$M261*$I261)</f>
        <v/>
      </c>
      <c r="P261">
        <f>IF($J261="","",IF($J261-$B261&lt;='Plan setup'!$B$5,"Reversed","Outside window"))</f>
        <v/>
      </c>
      <c r="Q261" s="24">
        <f>IF($P261="Reversed",$J261,"")</f>
        <v/>
      </c>
      <c r="R261">
        <f>IF($E261="","",IF(ABS($G261+IF($I261="",0,$I261)-1)&gt;0.0001,"Splits must total 100%",IF(COUNTIF('Plan setup'!$A$25:$A$34,$F261)=0,"Rep 1 not in Plan setup",IF(IF($H261="",FALSE,COUNTIF('Plan setup'!$A$25:$A$34,$H261)=0),"Rep 2 not in Plan setup",IF(COUNTIF('Plan setup'!$A$17:$A$21,$D261)=0,"Unknown deal type",IF($P261="Outside window","Clawback outside window: not reversed","OK"))))))</f>
        <v/>
      </c>
      <c r="S261">
        <f>AND(ISNUMBER($B261),OR($F261=Statement!$C$3,$H261=Statement!$C$3),OR(AND($B261&gt;=Statement!$C$6,$B261&lt;=Statement!$C$7),AND(ISNUMBER($Q261),$Q261&gt;=Statement!$C$6,$Q261&lt;=Statement!$C$7)))</f>
        <v/>
      </c>
      <c r="T261">
        <f>IF($S261,COUNTIF($S$2:$S261,TRUE),"")</f>
        <v/>
      </c>
      <c r="U261" s="17">
        <f>IF($F261=Statement!$C$3,$N261,0)+IF($H261=Statement!$C$3,$O261,0)</f>
        <v/>
      </c>
      <c r="V261" s="17">
        <f>IF(NOT($S261),0,IF(AND($B261&gt;=Statement!$C$6,$B261&lt;=Statement!$C$7),$U261,0)-IF(ISNUMBER($Q261),IF(AND($Q261&gt;=Statement!$C$6,$Q261&lt;=Statement!$C$7),$U261,0),0))</f>
        <v/>
      </c>
      <c r="W261" s="23">
        <f>IF($F261=Statement!$C$3,$G261,0)+IF($H261=Statement!$C$3,IF($I261="",0,$I261),0)</f>
        <v/>
      </c>
      <c r="X261">
        <f>IF(NOT($S261),"",IF(ISNUMBER($Q261),IF(AND($Q261&gt;=Statement!$C$6,$Q261&lt;=Statement!$C$7),"Clawback: credit reversed",""),"")&amp;IF(AND($B261&gt;=Statement!$C$6,$B261&lt;=Statement!$C$7,N($L261)&lt;1),"Partial credit: "&amp;TEXT($L261,"0%"),""))</f>
        <v/>
      </c>
    </row>
    <row r="262">
      <c r="A262" s="19" t="n"/>
      <c r="B262" s="20" t="n"/>
      <c r="C262" s="19" t="n"/>
      <c r="D262" s="19" t="n"/>
      <c r="E262" s="21" t="n"/>
      <c r="F262" s="19" t="n"/>
      <c r="G262" s="22" t="n"/>
      <c r="H262" s="19" t="n"/>
      <c r="I262" s="22" t="n"/>
      <c r="J262" s="20" t="n"/>
      <c r="K262" s="19" t="n"/>
      <c r="L262" s="23">
        <f>IF($E262="","",IFERROR(VLOOKUP($D262,'Plan setup'!$A$17:$B$21,2,FALSE),0))</f>
        <v/>
      </c>
      <c r="M262" s="17">
        <f>IF($E262="","",$E262*$L262)</f>
        <v/>
      </c>
      <c r="N262" s="17">
        <f>IF(OR($E262="",$F262=""),0,$M262*$G262)</f>
        <v/>
      </c>
      <c r="O262" s="17">
        <f>IF(OR($E262="",$H262=""),0,$M262*$I262)</f>
        <v/>
      </c>
      <c r="P262">
        <f>IF($J262="","",IF($J262-$B262&lt;='Plan setup'!$B$5,"Reversed","Outside window"))</f>
        <v/>
      </c>
      <c r="Q262" s="24">
        <f>IF($P262="Reversed",$J262,"")</f>
        <v/>
      </c>
      <c r="R262">
        <f>IF($E262="","",IF(ABS($G262+IF($I262="",0,$I262)-1)&gt;0.0001,"Splits must total 100%",IF(COUNTIF('Plan setup'!$A$25:$A$34,$F262)=0,"Rep 1 not in Plan setup",IF(IF($H262="",FALSE,COUNTIF('Plan setup'!$A$25:$A$34,$H262)=0),"Rep 2 not in Plan setup",IF(COUNTIF('Plan setup'!$A$17:$A$21,$D262)=0,"Unknown deal type",IF($P262="Outside window","Clawback outside window: not reversed","OK"))))))</f>
        <v/>
      </c>
      <c r="S262">
        <f>AND(ISNUMBER($B262),OR($F262=Statement!$C$3,$H262=Statement!$C$3),OR(AND($B262&gt;=Statement!$C$6,$B262&lt;=Statement!$C$7),AND(ISNUMBER($Q262),$Q262&gt;=Statement!$C$6,$Q262&lt;=Statement!$C$7)))</f>
        <v/>
      </c>
      <c r="T262">
        <f>IF($S262,COUNTIF($S$2:$S262,TRUE),"")</f>
        <v/>
      </c>
      <c r="U262" s="17">
        <f>IF($F262=Statement!$C$3,$N262,0)+IF($H262=Statement!$C$3,$O262,0)</f>
        <v/>
      </c>
      <c r="V262" s="17">
        <f>IF(NOT($S262),0,IF(AND($B262&gt;=Statement!$C$6,$B262&lt;=Statement!$C$7),$U262,0)-IF(ISNUMBER($Q262),IF(AND($Q262&gt;=Statement!$C$6,$Q262&lt;=Statement!$C$7),$U262,0),0))</f>
        <v/>
      </c>
      <c r="W262" s="23">
        <f>IF($F262=Statement!$C$3,$G262,0)+IF($H262=Statement!$C$3,IF($I262="",0,$I262),0)</f>
        <v/>
      </c>
      <c r="X262">
        <f>IF(NOT($S262),"",IF(ISNUMBER($Q262),IF(AND($Q262&gt;=Statement!$C$6,$Q262&lt;=Statement!$C$7),"Clawback: credit reversed",""),"")&amp;IF(AND($B262&gt;=Statement!$C$6,$B262&lt;=Statement!$C$7,N($L262)&lt;1),"Partial credit: "&amp;TEXT($L262,"0%"),""))</f>
        <v/>
      </c>
    </row>
    <row r="263">
      <c r="A263" s="19" t="n"/>
      <c r="B263" s="20" t="n"/>
      <c r="C263" s="19" t="n"/>
      <c r="D263" s="19" t="n"/>
      <c r="E263" s="21" t="n"/>
      <c r="F263" s="19" t="n"/>
      <c r="G263" s="22" t="n"/>
      <c r="H263" s="19" t="n"/>
      <c r="I263" s="22" t="n"/>
      <c r="J263" s="20" t="n"/>
      <c r="K263" s="19" t="n"/>
      <c r="L263" s="23">
        <f>IF($E263="","",IFERROR(VLOOKUP($D263,'Plan setup'!$A$17:$B$21,2,FALSE),0))</f>
        <v/>
      </c>
      <c r="M263" s="17">
        <f>IF($E263="","",$E263*$L263)</f>
        <v/>
      </c>
      <c r="N263" s="17">
        <f>IF(OR($E263="",$F263=""),0,$M263*$G263)</f>
        <v/>
      </c>
      <c r="O263" s="17">
        <f>IF(OR($E263="",$H263=""),0,$M263*$I263)</f>
        <v/>
      </c>
      <c r="P263">
        <f>IF($J263="","",IF($J263-$B263&lt;='Plan setup'!$B$5,"Reversed","Outside window"))</f>
        <v/>
      </c>
      <c r="Q263" s="24">
        <f>IF($P263="Reversed",$J263,"")</f>
        <v/>
      </c>
      <c r="R263">
        <f>IF($E263="","",IF(ABS($G263+IF($I263="",0,$I263)-1)&gt;0.0001,"Splits must total 100%",IF(COUNTIF('Plan setup'!$A$25:$A$34,$F263)=0,"Rep 1 not in Plan setup",IF(IF($H263="",FALSE,COUNTIF('Plan setup'!$A$25:$A$34,$H263)=0),"Rep 2 not in Plan setup",IF(COUNTIF('Plan setup'!$A$17:$A$21,$D263)=0,"Unknown deal type",IF($P263="Outside window","Clawback outside window: not reversed","OK"))))))</f>
        <v/>
      </c>
      <c r="S263">
        <f>AND(ISNUMBER($B263),OR($F263=Statement!$C$3,$H263=Statement!$C$3),OR(AND($B263&gt;=Statement!$C$6,$B263&lt;=Statement!$C$7),AND(ISNUMBER($Q263),$Q263&gt;=Statement!$C$6,$Q263&lt;=Statement!$C$7)))</f>
        <v/>
      </c>
      <c r="T263">
        <f>IF($S263,COUNTIF($S$2:$S263,TRUE),"")</f>
        <v/>
      </c>
      <c r="U263" s="17">
        <f>IF($F263=Statement!$C$3,$N263,0)+IF($H263=Statement!$C$3,$O263,0)</f>
        <v/>
      </c>
      <c r="V263" s="17">
        <f>IF(NOT($S263),0,IF(AND($B263&gt;=Statement!$C$6,$B263&lt;=Statement!$C$7),$U263,0)-IF(ISNUMBER($Q263),IF(AND($Q263&gt;=Statement!$C$6,$Q263&lt;=Statement!$C$7),$U263,0),0))</f>
        <v/>
      </c>
      <c r="W263" s="23">
        <f>IF($F263=Statement!$C$3,$G263,0)+IF($H263=Statement!$C$3,IF($I263="",0,$I263),0)</f>
        <v/>
      </c>
      <c r="X263">
        <f>IF(NOT($S263),"",IF(ISNUMBER($Q263),IF(AND($Q263&gt;=Statement!$C$6,$Q263&lt;=Statement!$C$7),"Clawback: credit reversed",""),"")&amp;IF(AND($B263&gt;=Statement!$C$6,$B263&lt;=Statement!$C$7,N($L263)&lt;1),"Partial credit: "&amp;TEXT($L263,"0%"),""))</f>
        <v/>
      </c>
    </row>
    <row r="264">
      <c r="A264" s="19" t="n"/>
      <c r="B264" s="20" t="n"/>
      <c r="C264" s="19" t="n"/>
      <c r="D264" s="19" t="n"/>
      <c r="E264" s="21" t="n"/>
      <c r="F264" s="19" t="n"/>
      <c r="G264" s="22" t="n"/>
      <c r="H264" s="19" t="n"/>
      <c r="I264" s="22" t="n"/>
      <c r="J264" s="20" t="n"/>
      <c r="K264" s="19" t="n"/>
      <c r="L264" s="23">
        <f>IF($E264="","",IFERROR(VLOOKUP($D264,'Plan setup'!$A$17:$B$21,2,FALSE),0))</f>
        <v/>
      </c>
      <c r="M264" s="17">
        <f>IF($E264="","",$E264*$L264)</f>
        <v/>
      </c>
      <c r="N264" s="17">
        <f>IF(OR($E264="",$F264=""),0,$M264*$G264)</f>
        <v/>
      </c>
      <c r="O264" s="17">
        <f>IF(OR($E264="",$H264=""),0,$M264*$I264)</f>
        <v/>
      </c>
      <c r="P264">
        <f>IF($J264="","",IF($J264-$B264&lt;='Plan setup'!$B$5,"Reversed","Outside window"))</f>
        <v/>
      </c>
      <c r="Q264" s="24">
        <f>IF($P264="Reversed",$J264,"")</f>
        <v/>
      </c>
      <c r="R264">
        <f>IF($E264="","",IF(ABS($G264+IF($I264="",0,$I264)-1)&gt;0.0001,"Splits must total 100%",IF(COUNTIF('Plan setup'!$A$25:$A$34,$F264)=0,"Rep 1 not in Plan setup",IF(IF($H264="",FALSE,COUNTIF('Plan setup'!$A$25:$A$34,$H264)=0),"Rep 2 not in Plan setup",IF(COUNTIF('Plan setup'!$A$17:$A$21,$D264)=0,"Unknown deal type",IF($P264="Outside window","Clawback outside window: not reversed","OK"))))))</f>
        <v/>
      </c>
      <c r="S264">
        <f>AND(ISNUMBER($B264),OR($F264=Statement!$C$3,$H264=Statement!$C$3),OR(AND($B264&gt;=Statement!$C$6,$B264&lt;=Statement!$C$7),AND(ISNUMBER($Q264),$Q264&gt;=Statement!$C$6,$Q264&lt;=Statement!$C$7)))</f>
        <v/>
      </c>
      <c r="T264">
        <f>IF($S264,COUNTIF($S$2:$S264,TRUE),"")</f>
        <v/>
      </c>
      <c r="U264" s="17">
        <f>IF($F264=Statement!$C$3,$N264,0)+IF($H264=Statement!$C$3,$O264,0)</f>
        <v/>
      </c>
      <c r="V264" s="17">
        <f>IF(NOT($S264),0,IF(AND($B264&gt;=Statement!$C$6,$B264&lt;=Statement!$C$7),$U264,0)-IF(ISNUMBER($Q264),IF(AND($Q264&gt;=Statement!$C$6,$Q264&lt;=Statement!$C$7),$U264,0),0))</f>
        <v/>
      </c>
      <c r="W264" s="23">
        <f>IF($F264=Statement!$C$3,$G264,0)+IF($H264=Statement!$C$3,IF($I264="",0,$I264),0)</f>
        <v/>
      </c>
      <c r="X264">
        <f>IF(NOT($S264),"",IF(ISNUMBER($Q264),IF(AND($Q264&gt;=Statement!$C$6,$Q264&lt;=Statement!$C$7),"Clawback: credit reversed",""),"")&amp;IF(AND($B264&gt;=Statement!$C$6,$B264&lt;=Statement!$C$7,N($L264)&lt;1),"Partial credit: "&amp;TEXT($L264,"0%"),""))</f>
        <v/>
      </c>
    </row>
    <row r="265">
      <c r="A265" s="19" t="n"/>
      <c r="B265" s="20" t="n"/>
      <c r="C265" s="19" t="n"/>
      <c r="D265" s="19" t="n"/>
      <c r="E265" s="21" t="n"/>
      <c r="F265" s="19" t="n"/>
      <c r="G265" s="22" t="n"/>
      <c r="H265" s="19" t="n"/>
      <c r="I265" s="22" t="n"/>
      <c r="J265" s="20" t="n"/>
      <c r="K265" s="19" t="n"/>
      <c r="L265" s="23">
        <f>IF($E265="","",IFERROR(VLOOKUP($D265,'Plan setup'!$A$17:$B$21,2,FALSE),0))</f>
        <v/>
      </c>
      <c r="M265" s="17">
        <f>IF($E265="","",$E265*$L265)</f>
        <v/>
      </c>
      <c r="N265" s="17">
        <f>IF(OR($E265="",$F265=""),0,$M265*$G265)</f>
        <v/>
      </c>
      <c r="O265" s="17">
        <f>IF(OR($E265="",$H265=""),0,$M265*$I265)</f>
        <v/>
      </c>
      <c r="P265">
        <f>IF($J265="","",IF($J265-$B265&lt;='Plan setup'!$B$5,"Reversed","Outside window"))</f>
        <v/>
      </c>
      <c r="Q265" s="24">
        <f>IF($P265="Reversed",$J265,"")</f>
        <v/>
      </c>
      <c r="R265">
        <f>IF($E265="","",IF(ABS($G265+IF($I265="",0,$I265)-1)&gt;0.0001,"Splits must total 100%",IF(COUNTIF('Plan setup'!$A$25:$A$34,$F265)=0,"Rep 1 not in Plan setup",IF(IF($H265="",FALSE,COUNTIF('Plan setup'!$A$25:$A$34,$H265)=0),"Rep 2 not in Plan setup",IF(COUNTIF('Plan setup'!$A$17:$A$21,$D265)=0,"Unknown deal type",IF($P265="Outside window","Clawback outside window: not reversed","OK"))))))</f>
        <v/>
      </c>
      <c r="S265">
        <f>AND(ISNUMBER($B265),OR($F265=Statement!$C$3,$H265=Statement!$C$3),OR(AND($B265&gt;=Statement!$C$6,$B265&lt;=Statement!$C$7),AND(ISNUMBER($Q265),$Q265&gt;=Statement!$C$6,$Q265&lt;=Statement!$C$7)))</f>
        <v/>
      </c>
      <c r="T265">
        <f>IF($S265,COUNTIF($S$2:$S265,TRUE),"")</f>
        <v/>
      </c>
      <c r="U265" s="17">
        <f>IF($F265=Statement!$C$3,$N265,0)+IF($H265=Statement!$C$3,$O265,0)</f>
        <v/>
      </c>
      <c r="V265" s="17">
        <f>IF(NOT($S265),0,IF(AND($B265&gt;=Statement!$C$6,$B265&lt;=Statement!$C$7),$U265,0)-IF(ISNUMBER($Q265),IF(AND($Q265&gt;=Statement!$C$6,$Q265&lt;=Statement!$C$7),$U265,0),0))</f>
        <v/>
      </c>
      <c r="W265" s="23">
        <f>IF($F265=Statement!$C$3,$G265,0)+IF($H265=Statement!$C$3,IF($I265="",0,$I265),0)</f>
        <v/>
      </c>
      <c r="X265">
        <f>IF(NOT($S265),"",IF(ISNUMBER($Q265),IF(AND($Q265&gt;=Statement!$C$6,$Q265&lt;=Statement!$C$7),"Clawback: credit reversed",""),"")&amp;IF(AND($B265&gt;=Statement!$C$6,$B265&lt;=Statement!$C$7,N($L265)&lt;1),"Partial credit: "&amp;TEXT($L265,"0%"),""))</f>
        <v/>
      </c>
    </row>
    <row r="266">
      <c r="A266" s="19" t="n"/>
      <c r="B266" s="20" t="n"/>
      <c r="C266" s="19" t="n"/>
      <c r="D266" s="19" t="n"/>
      <c r="E266" s="21" t="n"/>
      <c r="F266" s="19" t="n"/>
      <c r="G266" s="22" t="n"/>
      <c r="H266" s="19" t="n"/>
      <c r="I266" s="22" t="n"/>
      <c r="J266" s="20" t="n"/>
      <c r="K266" s="19" t="n"/>
      <c r="L266" s="23">
        <f>IF($E266="","",IFERROR(VLOOKUP($D266,'Plan setup'!$A$17:$B$21,2,FALSE),0))</f>
        <v/>
      </c>
      <c r="M266" s="17">
        <f>IF($E266="","",$E266*$L266)</f>
        <v/>
      </c>
      <c r="N266" s="17">
        <f>IF(OR($E266="",$F266=""),0,$M266*$G266)</f>
        <v/>
      </c>
      <c r="O266" s="17">
        <f>IF(OR($E266="",$H266=""),0,$M266*$I266)</f>
        <v/>
      </c>
      <c r="P266">
        <f>IF($J266="","",IF($J266-$B266&lt;='Plan setup'!$B$5,"Reversed","Outside window"))</f>
        <v/>
      </c>
      <c r="Q266" s="24">
        <f>IF($P266="Reversed",$J266,"")</f>
        <v/>
      </c>
      <c r="R266">
        <f>IF($E266="","",IF(ABS($G266+IF($I266="",0,$I266)-1)&gt;0.0001,"Splits must total 100%",IF(COUNTIF('Plan setup'!$A$25:$A$34,$F266)=0,"Rep 1 not in Plan setup",IF(IF($H266="",FALSE,COUNTIF('Plan setup'!$A$25:$A$34,$H266)=0),"Rep 2 not in Plan setup",IF(COUNTIF('Plan setup'!$A$17:$A$21,$D266)=0,"Unknown deal type",IF($P266="Outside window","Clawback outside window: not reversed","OK"))))))</f>
        <v/>
      </c>
      <c r="S266">
        <f>AND(ISNUMBER($B266),OR($F266=Statement!$C$3,$H266=Statement!$C$3),OR(AND($B266&gt;=Statement!$C$6,$B266&lt;=Statement!$C$7),AND(ISNUMBER($Q266),$Q266&gt;=Statement!$C$6,$Q266&lt;=Statement!$C$7)))</f>
        <v/>
      </c>
      <c r="T266">
        <f>IF($S266,COUNTIF($S$2:$S266,TRUE),"")</f>
        <v/>
      </c>
      <c r="U266" s="17">
        <f>IF($F266=Statement!$C$3,$N266,0)+IF($H266=Statement!$C$3,$O266,0)</f>
        <v/>
      </c>
      <c r="V266" s="17">
        <f>IF(NOT($S266),0,IF(AND($B266&gt;=Statement!$C$6,$B266&lt;=Statement!$C$7),$U266,0)-IF(ISNUMBER($Q266),IF(AND($Q266&gt;=Statement!$C$6,$Q266&lt;=Statement!$C$7),$U266,0),0))</f>
        <v/>
      </c>
      <c r="W266" s="23">
        <f>IF($F266=Statement!$C$3,$G266,0)+IF($H266=Statement!$C$3,IF($I266="",0,$I266),0)</f>
        <v/>
      </c>
      <c r="X266">
        <f>IF(NOT($S266),"",IF(ISNUMBER($Q266),IF(AND($Q266&gt;=Statement!$C$6,$Q266&lt;=Statement!$C$7),"Clawback: credit reversed",""),"")&amp;IF(AND($B266&gt;=Statement!$C$6,$B266&lt;=Statement!$C$7,N($L266)&lt;1),"Partial credit: "&amp;TEXT($L266,"0%"),""))</f>
        <v/>
      </c>
    </row>
    <row r="267">
      <c r="A267" s="19" t="n"/>
      <c r="B267" s="20" t="n"/>
      <c r="C267" s="19" t="n"/>
      <c r="D267" s="19" t="n"/>
      <c r="E267" s="21" t="n"/>
      <c r="F267" s="19" t="n"/>
      <c r="G267" s="22" t="n"/>
      <c r="H267" s="19" t="n"/>
      <c r="I267" s="22" t="n"/>
      <c r="J267" s="20" t="n"/>
      <c r="K267" s="19" t="n"/>
      <c r="L267" s="23">
        <f>IF($E267="","",IFERROR(VLOOKUP($D267,'Plan setup'!$A$17:$B$21,2,FALSE),0))</f>
        <v/>
      </c>
      <c r="M267" s="17">
        <f>IF($E267="","",$E267*$L267)</f>
        <v/>
      </c>
      <c r="N267" s="17">
        <f>IF(OR($E267="",$F267=""),0,$M267*$G267)</f>
        <v/>
      </c>
      <c r="O267" s="17">
        <f>IF(OR($E267="",$H267=""),0,$M267*$I267)</f>
        <v/>
      </c>
      <c r="P267">
        <f>IF($J267="","",IF($J267-$B267&lt;='Plan setup'!$B$5,"Reversed","Outside window"))</f>
        <v/>
      </c>
      <c r="Q267" s="24">
        <f>IF($P267="Reversed",$J267,"")</f>
        <v/>
      </c>
      <c r="R267">
        <f>IF($E267="","",IF(ABS($G267+IF($I267="",0,$I267)-1)&gt;0.0001,"Splits must total 100%",IF(COUNTIF('Plan setup'!$A$25:$A$34,$F267)=0,"Rep 1 not in Plan setup",IF(IF($H267="",FALSE,COUNTIF('Plan setup'!$A$25:$A$34,$H267)=0),"Rep 2 not in Plan setup",IF(COUNTIF('Plan setup'!$A$17:$A$21,$D267)=0,"Unknown deal type",IF($P267="Outside window","Clawback outside window: not reversed","OK"))))))</f>
        <v/>
      </c>
      <c r="S267">
        <f>AND(ISNUMBER($B267),OR($F267=Statement!$C$3,$H267=Statement!$C$3),OR(AND($B267&gt;=Statement!$C$6,$B267&lt;=Statement!$C$7),AND(ISNUMBER($Q267),$Q267&gt;=Statement!$C$6,$Q267&lt;=Statement!$C$7)))</f>
        <v/>
      </c>
      <c r="T267">
        <f>IF($S267,COUNTIF($S$2:$S267,TRUE),"")</f>
        <v/>
      </c>
      <c r="U267" s="17">
        <f>IF($F267=Statement!$C$3,$N267,0)+IF($H267=Statement!$C$3,$O267,0)</f>
        <v/>
      </c>
      <c r="V267" s="17">
        <f>IF(NOT($S267),0,IF(AND($B267&gt;=Statement!$C$6,$B267&lt;=Statement!$C$7),$U267,0)-IF(ISNUMBER($Q267),IF(AND($Q267&gt;=Statement!$C$6,$Q267&lt;=Statement!$C$7),$U267,0),0))</f>
        <v/>
      </c>
      <c r="W267" s="23">
        <f>IF($F267=Statement!$C$3,$G267,0)+IF($H267=Statement!$C$3,IF($I267="",0,$I267),0)</f>
        <v/>
      </c>
      <c r="X267">
        <f>IF(NOT($S267),"",IF(ISNUMBER($Q267),IF(AND($Q267&gt;=Statement!$C$6,$Q267&lt;=Statement!$C$7),"Clawback: credit reversed",""),"")&amp;IF(AND($B267&gt;=Statement!$C$6,$B267&lt;=Statement!$C$7,N($L267)&lt;1),"Partial credit: "&amp;TEXT($L267,"0%"),""))</f>
        <v/>
      </c>
    </row>
    <row r="268">
      <c r="A268" s="19" t="n"/>
      <c r="B268" s="20" t="n"/>
      <c r="C268" s="19" t="n"/>
      <c r="D268" s="19" t="n"/>
      <c r="E268" s="21" t="n"/>
      <c r="F268" s="19" t="n"/>
      <c r="G268" s="22" t="n"/>
      <c r="H268" s="19" t="n"/>
      <c r="I268" s="22" t="n"/>
      <c r="J268" s="20" t="n"/>
      <c r="K268" s="19" t="n"/>
      <c r="L268" s="23">
        <f>IF($E268="","",IFERROR(VLOOKUP($D268,'Plan setup'!$A$17:$B$21,2,FALSE),0))</f>
        <v/>
      </c>
      <c r="M268" s="17">
        <f>IF($E268="","",$E268*$L268)</f>
        <v/>
      </c>
      <c r="N268" s="17">
        <f>IF(OR($E268="",$F268=""),0,$M268*$G268)</f>
        <v/>
      </c>
      <c r="O268" s="17">
        <f>IF(OR($E268="",$H268=""),0,$M268*$I268)</f>
        <v/>
      </c>
      <c r="P268">
        <f>IF($J268="","",IF($J268-$B268&lt;='Plan setup'!$B$5,"Reversed","Outside window"))</f>
        <v/>
      </c>
      <c r="Q268" s="24">
        <f>IF($P268="Reversed",$J268,"")</f>
        <v/>
      </c>
      <c r="R268">
        <f>IF($E268="","",IF(ABS($G268+IF($I268="",0,$I268)-1)&gt;0.0001,"Splits must total 100%",IF(COUNTIF('Plan setup'!$A$25:$A$34,$F268)=0,"Rep 1 not in Plan setup",IF(IF($H268="",FALSE,COUNTIF('Plan setup'!$A$25:$A$34,$H268)=0),"Rep 2 not in Plan setup",IF(COUNTIF('Plan setup'!$A$17:$A$21,$D268)=0,"Unknown deal type",IF($P268="Outside window","Clawback outside window: not reversed","OK"))))))</f>
        <v/>
      </c>
      <c r="S268">
        <f>AND(ISNUMBER($B268),OR($F268=Statement!$C$3,$H268=Statement!$C$3),OR(AND($B268&gt;=Statement!$C$6,$B268&lt;=Statement!$C$7),AND(ISNUMBER($Q268),$Q268&gt;=Statement!$C$6,$Q268&lt;=Statement!$C$7)))</f>
        <v/>
      </c>
      <c r="T268">
        <f>IF($S268,COUNTIF($S$2:$S268,TRUE),"")</f>
        <v/>
      </c>
      <c r="U268" s="17">
        <f>IF($F268=Statement!$C$3,$N268,0)+IF($H268=Statement!$C$3,$O268,0)</f>
        <v/>
      </c>
      <c r="V268" s="17">
        <f>IF(NOT($S268),0,IF(AND($B268&gt;=Statement!$C$6,$B268&lt;=Statement!$C$7),$U268,0)-IF(ISNUMBER($Q268),IF(AND($Q268&gt;=Statement!$C$6,$Q268&lt;=Statement!$C$7),$U268,0),0))</f>
        <v/>
      </c>
      <c r="W268" s="23">
        <f>IF($F268=Statement!$C$3,$G268,0)+IF($H268=Statement!$C$3,IF($I268="",0,$I268),0)</f>
        <v/>
      </c>
      <c r="X268">
        <f>IF(NOT($S268),"",IF(ISNUMBER($Q268),IF(AND($Q268&gt;=Statement!$C$6,$Q268&lt;=Statement!$C$7),"Clawback: credit reversed",""),"")&amp;IF(AND($B268&gt;=Statement!$C$6,$B268&lt;=Statement!$C$7,N($L268)&lt;1),"Partial credit: "&amp;TEXT($L268,"0%"),""))</f>
        <v/>
      </c>
    </row>
    <row r="269">
      <c r="A269" s="19" t="n"/>
      <c r="B269" s="20" t="n"/>
      <c r="C269" s="19" t="n"/>
      <c r="D269" s="19" t="n"/>
      <c r="E269" s="21" t="n"/>
      <c r="F269" s="19" t="n"/>
      <c r="G269" s="22" t="n"/>
      <c r="H269" s="19" t="n"/>
      <c r="I269" s="22" t="n"/>
      <c r="J269" s="20" t="n"/>
      <c r="K269" s="19" t="n"/>
      <c r="L269" s="23">
        <f>IF($E269="","",IFERROR(VLOOKUP($D269,'Plan setup'!$A$17:$B$21,2,FALSE),0))</f>
        <v/>
      </c>
      <c r="M269" s="17">
        <f>IF($E269="","",$E269*$L269)</f>
        <v/>
      </c>
      <c r="N269" s="17">
        <f>IF(OR($E269="",$F269=""),0,$M269*$G269)</f>
        <v/>
      </c>
      <c r="O269" s="17">
        <f>IF(OR($E269="",$H269=""),0,$M269*$I269)</f>
        <v/>
      </c>
      <c r="P269">
        <f>IF($J269="","",IF($J269-$B269&lt;='Plan setup'!$B$5,"Reversed","Outside window"))</f>
        <v/>
      </c>
      <c r="Q269" s="24">
        <f>IF($P269="Reversed",$J269,"")</f>
        <v/>
      </c>
      <c r="R269">
        <f>IF($E269="","",IF(ABS($G269+IF($I269="",0,$I269)-1)&gt;0.0001,"Splits must total 100%",IF(COUNTIF('Plan setup'!$A$25:$A$34,$F269)=0,"Rep 1 not in Plan setup",IF(IF($H269="",FALSE,COUNTIF('Plan setup'!$A$25:$A$34,$H269)=0),"Rep 2 not in Plan setup",IF(COUNTIF('Plan setup'!$A$17:$A$21,$D269)=0,"Unknown deal type",IF($P269="Outside window","Clawback outside window: not reversed","OK"))))))</f>
        <v/>
      </c>
      <c r="S269">
        <f>AND(ISNUMBER($B269),OR($F269=Statement!$C$3,$H269=Statement!$C$3),OR(AND($B269&gt;=Statement!$C$6,$B269&lt;=Statement!$C$7),AND(ISNUMBER($Q269),$Q269&gt;=Statement!$C$6,$Q269&lt;=Statement!$C$7)))</f>
        <v/>
      </c>
      <c r="T269">
        <f>IF($S269,COUNTIF($S$2:$S269,TRUE),"")</f>
        <v/>
      </c>
      <c r="U269" s="17">
        <f>IF($F269=Statement!$C$3,$N269,0)+IF($H269=Statement!$C$3,$O269,0)</f>
        <v/>
      </c>
      <c r="V269" s="17">
        <f>IF(NOT($S269),0,IF(AND($B269&gt;=Statement!$C$6,$B269&lt;=Statement!$C$7),$U269,0)-IF(ISNUMBER($Q269),IF(AND($Q269&gt;=Statement!$C$6,$Q269&lt;=Statement!$C$7),$U269,0),0))</f>
        <v/>
      </c>
      <c r="W269" s="23">
        <f>IF($F269=Statement!$C$3,$G269,0)+IF($H269=Statement!$C$3,IF($I269="",0,$I269),0)</f>
        <v/>
      </c>
      <c r="X269">
        <f>IF(NOT($S269),"",IF(ISNUMBER($Q269),IF(AND($Q269&gt;=Statement!$C$6,$Q269&lt;=Statement!$C$7),"Clawback: credit reversed",""),"")&amp;IF(AND($B269&gt;=Statement!$C$6,$B269&lt;=Statement!$C$7,N($L269)&lt;1),"Partial credit: "&amp;TEXT($L269,"0%"),""))</f>
        <v/>
      </c>
    </row>
    <row r="270">
      <c r="A270" s="19" t="n"/>
      <c r="B270" s="20" t="n"/>
      <c r="C270" s="19" t="n"/>
      <c r="D270" s="19" t="n"/>
      <c r="E270" s="21" t="n"/>
      <c r="F270" s="19" t="n"/>
      <c r="G270" s="22" t="n"/>
      <c r="H270" s="19" t="n"/>
      <c r="I270" s="22" t="n"/>
      <c r="J270" s="20" t="n"/>
      <c r="K270" s="19" t="n"/>
      <c r="L270" s="23">
        <f>IF($E270="","",IFERROR(VLOOKUP($D270,'Plan setup'!$A$17:$B$21,2,FALSE),0))</f>
        <v/>
      </c>
      <c r="M270" s="17">
        <f>IF($E270="","",$E270*$L270)</f>
        <v/>
      </c>
      <c r="N270" s="17">
        <f>IF(OR($E270="",$F270=""),0,$M270*$G270)</f>
        <v/>
      </c>
      <c r="O270" s="17">
        <f>IF(OR($E270="",$H270=""),0,$M270*$I270)</f>
        <v/>
      </c>
      <c r="P270">
        <f>IF($J270="","",IF($J270-$B270&lt;='Plan setup'!$B$5,"Reversed","Outside window"))</f>
        <v/>
      </c>
      <c r="Q270" s="24">
        <f>IF($P270="Reversed",$J270,"")</f>
        <v/>
      </c>
      <c r="R270">
        <f>IF($E270="","",IF(ABS($G270+IF($I270="",0,$I270)-1)&gt;0.0001,"Splits must total 100%",IF(COUNTIF('Plan setup'!$A$25:$A$34,$F270)=0,"Rep 1 not in Plan setup",IF(IF($H270="",FALSE,COUNTIF('Plan setup'!$A$25:$A$34,$H270)=0),"Rep 2 not in Plan setup",IF(COUNTIF('Plan setup'!$A$17:$A$21,$D270)=0,"Unknown deal type",IF($P270="Outside window","Clawback outside window: not reversed","OK"))))))</f>
        <v/>
      </c>
      <c r="S270">
        <f>AND(ISNUMBER($B270),OR($F270=Statement!$C$3,$H270=Statement!$C$3),OR(AND($B270&gt;=Statement!$C$6,$B270&lt;=Statement!$C$7),AND(ISNUMBER($Q270),$Q270&gt;=Statement!$C$6,$Q270&lt;=Statement!$C$7)))</f>
        <v/>
      </c>
      <c r="T270">
        <f>IF($S270,COUNTIF($S$2:$S270,TRUE),"")</f>
        <v/>
      </c>
      <c r="U270" s="17">
        <f>IF($F270=Statement!$C$3,$N270,0)+IF($H270=Statement!$C$3,$O270,0)</f>
        <v/>
      </c>
      <c r="V270" s="17">
        <f>IF(NOT($S270),0,IF(AND($B270&gt;=Statement!$C$6,$B270&lt;=Statement!$C$7),$U270,0)-IF(ISNUMBER($Q270),IF(AND($Q270&gt;=Statement!$C$6,$Q270&lt;=Statement!$C$7),$U270,0),0))</f>
        <v/>
      </c>
      <c r="W270" s="23">
        <f>IF($F270=Statement!$C$3,$G270,0)+IF($H270=Statement!$C$3,IF($I270="",0,$I270),0)</f>
        <v/>
      </c>
      <c r="X270">
        <f>IF(NOT($S270),"",IF(ISNUMBER($Q270),IF(AND($Q270&gt;=Statement!$C$6,$Q270&lt;=Statement!$C$7),"Clawback: credit reversed",""),"")&amp;IF(AND($B270&gt;=Statement!$C$6,$B270&lt;=Statement!$C$7,N($L270)&lt;1),"Partial credit: "&amp;TEXT($L270,"0%"),""))</f>
        <v/>
      </c>
    </row>
    <row r="271">
      <c r="A271" s="19" t="n"/>
      <c r="B271" s="20" t="n"/>
      <c r="C271" s="19" t="n"/>
      <c r="D271" s="19" t="n"/>
      <c r="E271" s="21" t="n"/>
      <c r="F271" s="19" t="n"/>
      <c r="G271" s="22" t="n"/>
      <c r="H271" s="19" t="n"/>
      <c r="I271" s="22" t="n"/>
      <c r="J271" s="20" t="n"/>
      <c r="K271" s="19" t="n"/>
      <c r="L271" s="23">
        <f>IF($E271="","",IFERROR(VLOOKUP($D271,'Plan setup'!$A$17:$B$21,2,FALSE),0))</f>
        <v/>
      </c>
      <c r="M271" s="17">
        <f>IF($E271="","",$E271*$L271)</f>
        <v/>
      </c>
      <c r="N271" s="17">
        <f>IF(OR($E271="",$F271=""),0,$M271*$G271)</f>
        <v/>
      </c>
      <c r="O271" s="17">
        <f>IF(OR($E271="",$H271=""),0,$M271*$I271)</f>
        <v/>
      </c>
      <c r="P271">
        <f>IF($J271="","",IF($J271-$B271&lt;='Plan setup'!$B$5,"Reversed","Outside window"))</f>
        <v/>
      </c>
      <c r="Q271" s="24">
        <f>IF($P271="Reversed",$J271,"")</f>
        <v/>
      </c>
      <c r="R271">
        <f>IF($E271="","",IF(ABS($G271+IF($I271="",0,$I271)-1)&gt;0.0001,"Splits must total 100%",IF(COUNTIF('Plan setup'!$A$25:$A$34,$F271)=0,"Rep 1 not in Plan setup",IF(IF($H271="",FALSE,COUNTIF('Plan setup'!$A$25:$A$34,$H271)=0),"Rep 2 not in Plan setup",IF(COUNTIF('Plan setup'!$A$17:$A$21,$D271)=0,"Unknown deal type",IF($P271="Outside window","Clawback outside window: not reversed","OK"))))))</f>
        <v/>
      </c>
      <c r="S271">
        <f>AND(ISNUMBER($B271),OR($F271=Statement!$C$3,$H271=Statement!$C$3),OR(AND($B271&gt;=Statement!$C$6,$B271&lt;=Statement!$C$7),AND(ISNUMBER($Q271),$Q271&gt;=Statement!$C$6,$Q271&lt;=Statement!$C$7)))</f>
        <v/>
      </c>
      <c r="T271">
        <f>IF($S271,COUNTIF($S$2:$S271,TRUE),"")</f>
        <v/>
      </c>
      <c r="U271" s="17">
        <f>IF($F271=Statement!$C$3,$N271,0)+IF($H271=Statement!$C$3,$O271,0)</f>
        <v/>
      </c>
      <c r="V271" s="17">
        <f>IF(NOT($S271),0,IF(AND($B271&gt;=Statement!$C$6,$B271&lt;=Statement!$C$7),$U271,0)-IF(ISNUMBER($Q271),IF(AND($Q271&gt;=Statement!$C$6,$Q271&lt;=Statement!$C$7),$U271,0),0))</f>
        <v/>
      </c>
      <c r="W271" s="23">
        <f>IF($F271=Statement!$C$3,$G271,0)+IF($H271=Statement!$C$3,IF($I271="",0,$I271),0)</f>
        <v/>
      </c>
      <c r="X271">
        <f>IF(NOT($S271),"",IF(ISNUMBER($Q271),IF(AND($Q271&gt;=Statement!$C$6,$Q271&lt;=Statement!$C$7),"Clawback: credit reversed",""),"")&amp;IF(AND($B271&gt;=Statement!$C$6,$B271&lt;=Statement!$C$7,N($L271)&lt;1),"Partial credit: "&amp;TEXT($L271,"0%"),""))</f>
        <v/>
      </c>
    </row>
    <row r="272">
      <c r="A272" s="19" t="n"/>
      <c r="B272" s="20" t="n"/>
      <c r="C272" s="19" t="n"/>
      <c r="D272" s="19" t="n"/>
      <c r="E272" s="21" t="n"/>
      <c r="F272" s="19" t="n"/>
      <c r="G272" s="22" t="n"/>
      <c r="H272" s="19" t="n"/>
      <c r="I272" s="22" t="n"/>
      <c r="J272" s="20" t="n"/>
      <c r="K272" s="19" t="n"/>
      <c r="L272" s="23">
        <f>IF($E272="","",IFERROR(VLOOKUP($D272,'Plan setup'!$A$17:$B$21,2,FALSE),0))</f>
        <v/>
      </c>
      <c r="M272" s="17">
        <f>IF($E272="","",$E272*$L272)</f>
        <v/>
      </c>
      <c r="N272" s="17">
        <f>IF(OR($E272="",$F272=""),0,$M272*$G272)</f>
        <v/>
      </c>
      <c r="O272" s="17">
        <f>IF(OR($E272="",$H272=""),0,$M272*$I272)</f>
        <v/>
      </c>
      <c r="P272">
        <f>IF($J272="","",IF($J272-$B272&lt;='Plan setup'!$B$5,"Reversed","Outside window"))</f>
        <v/>
      </c>
      <c r="Q272" s="24">
        <f>IF($P272="Reversed",$J272,"")</f>
        <v/>
      </c>
      <c r="R272">
        <f>IF($E272="","",IF(ABS($G272+IF($I272="",0,$I272)-1)&gt;0.0001,"Splits must total 100%",IF(COUNTIF('Plan setup'!$A$25:$A$34,$F272)=0,"Rep 1 not in Plan setup",IF(IF($H272="",FALSE,COUNTIF('Plan setup'!$A$25:$A$34,$H272)=0),"Rep 2 not in Plan setup",IF(COUNTIF('Plan setup'!$A$17:$A$21,$D272)=0,"Unknown deal type",IF($P272="Outside window","Clawback outside window: not reversed","OK"))))))</f>
        <v/>
      </c>
      <c r="S272">
        <f>AND(ISNUMBER($B272),OR($F272=Statement!$C$3,$H272=Statement!$C$3),OR(AND($B272&gt;=Statement!$C$6,$B272&lt;=Statement!$C$7),AND(ISNUMBER($Q272),$Q272&gt;=Statement!$C$6,$Q272&lt;=Statement!$C$7)))</f>
        <v/>
      </c>
      <c r="T272">
        <f>IF($S272,COUNTIF($S$2:$S272,TRUE),"")</f>
        <v/>
      </c>
      <c r="U272" s="17">
        <f>IF($F272=Statement!$C$3,$N272,0)+IF($H272=Statement!$C$3,$O272,0)</f>
        <v/>
      </c>
      <c r="V272" s="17">
        <f>IF(NOT($S272),0,IF(AND($B272&gt;=Statement!$C$6,$B272&lt;=Statement!$C$7),$U272,0)-IF(ISNUMBER($Q272),IF(AND($Q272&gt;=Statement!$C$6,$Q272&lt;=Statement!$C$7),$U272,0),0))</f>
        <v/>
      </c>
      <c r="W272" s="23">
        <f>IF($F272=Statement!$C$3,$G272,0)+IF($H272=Statement!$C$3,IF($I272="",0,$I272),0)</f>
        <v/>
      </c>
      <c r="X272">
        <f>IF(NOT($S272),"",IF(ISNUMBER($Q272),IF(AND($Q272&gt;=Statement!$C$6,$Q272&lt;=Statement!$C$7),"Clawback: credit reversed",""),"")&amp;IF(AND($B272&gt;=Statement!$C$6,$B272&lt;=Statement!$C$7,N($L272)&lt;1),"Partial credit: "&amp;TEXT($L272,"0%"),""))</f>
        <v/>
      </c>
    </row>
    <row r="273">
      <c r="A273" s="19" t="n"/>
      <c r="B273" s="20" t="n"/>
      <c r="C273" s="19" t="n"/>
      <c r="D273" s="19" t="n"/>
      <c r="E273" s="21" t="n"/>
      <c r="F273" s="19" t="n"/>
      <c r="G273" s="22" t="n"/>
      <c r="H273" s="19" t="n"/>
      <c r="I273" s="22" t="n"/>
      <c r="J273" s="20" t="n"/>
      <c r="K273" s="19" t="n"/>
      <c r="L273" s="23">
        <f>IF($E273="","",IFERROR(VLOOKUP($D273,'Plan setup'!$A$17:$B$21,2,FALSE),0))</f>
        <v/>
      </c>
      <c r="M273" s="17">
        <f>IF($E273="","",$E273*$L273)</f>
        <v/>
      </c>
      <c r="N273" s="17">
        <f>IF(OR($E273="",$F273=""),0,$M273*$G273)</f>
        <v/>
      </c>
      <c r="O273" s="17">
        <f>IF(OR($E273="",$H273=""),0,$M273*$I273)</f>
        <v/>
      </c>
      <c r="P273">
        <f>IF($J273="","",IF($J273-$B273&lt;='Plan setup'!$B$5,"Reversed","Outside window"))</f>
        <v/>
      </c>
      <c r="Q273" s="24">
        <f>IF($P273="Reversed",$J273,"")</f>
        <v/>
      </c>
      <c r="R273">
        <f>IF($E273="","",IF(ABS($G273+IF($I273="",0,$I273)-1)&gt;0.0001,"Splits must total 100%",IF(COUNTIF('Plan setup'!$A$25:$A$34,$F273)=0,"Rep 1 not in Plan setup",IF(IF($H273="",FALSE,COUNTIF('Plan setup'!$A$25:$A$34,$H273)=0),"Rep 2 not in Plan setup",IF(COUNTIF('Plan setup'!$A$17:$A$21,$D273)=0,"Unknown deal type",IF($P273="Outside window","Clawback outside window: not reversed","OK"))))))</f>
        <v/>
      </c>
      <c r="S273">
        <f>AND(ISNUMBER($B273),OR($F273=Statement!$C$3,$H273=Statement!$C$3),OR(AND($B273&gt;=Statement!$C$6,$B273&lt;=Statement!$C$7),AND(ISNUMBER($Q273),$Q273&gt;=Statement!$C$6,$Q273&lt;=Statement!$C$7)))</f>
        <v/>
      </c>
      <c r="T273">
        <f>IF($S273,COUNTIF($S$2:$S273,TRUE),"")</f>
        <v/>
      </c>
      <c r="U273" s="17">
        <f>IF($F273=Statement!$C$3,$N273,0)+IF($H273=Statement!$C$3,$O273,0)</f>
        <v/>
      </c>
      <c r="V273" s="17">
        <f>IF(NOT($S273),0,IF(AND($B273&gt;=Statement!$C$6,$B273&lt;=Statement!$C$7),$U273,0)-IF(ISNUMBER($Q273),IF(AND($Q273&gt;=Statement!$C$6,$Q273&lt;=Statement!$C$7),$U273,0),0))</f>
        <v/>
      </c>
      <c r="W273" s="23">
        <f>IF($F273=Statement!$C$3,$G273,0)+IF($H273=Statement!$C$3,IF($I273="",0,$I273),0)</f>
        <v/>
      </c>
      <c r="X273">
        <f>IF(NOT($S273),"",IF(ISNUMBER($Q273),IF(AND($Q273&gt;=Statement!$C$6,$Q273&lt;=Statement!$C$7),"Clawback: credit reversed",""),"")&amp;IF(AND($B273&gt;=Statement!$C$6,$B273&lt;=Statement!$C$7,N($L273)&lt;1),"Partial credit: "&amp;TEXT($L273,"0%"),""))</f>
        <v/>
      </c>
    </row>
    <row r="274">
      <c r="A274" s="19" t="n"/>
      <c r="B274" s="20" t="n"/>
      <c r="C274" s="19" t="n"/>
      <c r="D274" s="19" t="n"/>
      <c r="E274" s="21" t="n"/>
      <c r="F274" s="19" t="n"/>
      <c r="G274" s="22" t="n"/>
      <c r="H274" s="19" t="n"/>
      <c r="I274" s="22" t="n"/>
      <c r="J274" s="20" t="n"/>
      <c r="K274" s="19" t="n"/>
      <c r="L274" s="23">
        <f>IF($E274="","",IFERROR(VLOOKUP($D274,'Plan setup'!$A$17:$B$21,2,FALSE),0))</f>
        <v/>
      </c>
      <c r="M274" s="17">
        <f>IF($E274="","",$E274*$L274)</f>
        <v/>
      </c>
      <c r="N274" s="17">
        <f>IF(OR($E274="",$F274=""),0,$M274*$G274)</f>
        <v/>
      </c>
      <c r="O274" s="17">
        <f>IF(OR($E274="",$H274=""),0,$M274*$I274)</f>
        <v/>
      </c>
      <c r="P274">
        <f>IF($J274="","",IF($J274-$B274&lt;='Plan setup'!$B$5,"Reversed","Outside window"))</f>
        <v/>
      </c>
      <c r="Q274" s="24">
        <f>IF($P274="Reversed",$J274,"")</f>
        <v/>
      </c>
      <c r="R274">
        <f>IF($E274="","",IF(ABS($G274+IF($I274="",0,$I274)-1)&gt;0.0001,"Splits must total 100%",IF(COUNTIF('Plan setup'!$A$25:$A$34,$F274)=0,"Rep 1 not in Plan setup",IF(IF($H274="",FALSE,COUNTIF('Plan setup'!$A$25:$A$34,$H274)=0),"Rep 2 not in Plan setup",IF(COUNTIF('Plan setup'!$A$17:$A$21,$D274)=0,"Unknown deal type",IF($P274="Outside window","Clawback outside window: not reversed","OK"))))))</f>
        <v/>
      </c>
      <c r="S274">
        <f>AND(ISNUMBER($B274),OR($F274=Statement!$C$3,$H274=Statement!$C$3),OR(AND($B274&gt;=Statement!$C$6,$B274&lt;=Statement!$C$7),AND(ISNUMBER($Q274),$Q274&gt;=Statement!$C$6,$Q274&lt;=Statement!$C$7)))</f>
        <v/>
      </c>
      <c r="T274">
        <f>IF($S274,COUNTIF($S$2:$S274,TRUE),"")</f>
        <v/>
      </c>
      <c r="U274" s="17">
        <f>IF($F274=Statement!$C$3,$N274,0)+IF($H274=Statement!$C$3,$O274,0)</f>
        <v/>
      </c>
      <c r="V274" s="17">
        <f>IF(NOT($S274),0,IF(AND($B274&gt;=Statement!$C$6,$B274&lt;=Statement!$C$7),$U274,0)-IF(ISNUMBER($Q274),IF(AND($Q274&gt;=Statement!$C$6,$Q274&lt;=Statement!$C$7),$U274,0),0))</f>
        <v/>
      </c>
      <c r="W274" s="23">
        <f>IF($F274=Statement!$C$3,$G274,0)+IF($H274=Statement!$C$3,IF($I274="",0,$I274),0)</f>
        <v/>
      </c>
      <c r="X274">
        <f>IF(NOT($S274),"",IF(ISNUMBER($Q274),IF(AND($Q274&gt;=Statement!$C$6,$Q274&lt;=Statement!$C$7),"Clawback: credit reversed",""),"")&amp;IF(AND($B274&gt;=Statement!$C$6,$B274&lt;=Statement!$C$7,N($L274)&lt;1),"Partial credit: "&amp;TEXT($L274,"0%"),""))</f>
        <v/>
      </c>
    </row>
    <row r="275">
      <c r="A275" s="19" t="n"/>
      <c r="B275" s="20" t="n"/>
      <c r="C275" s="19" t="n"/>
      <c r="D275" s="19" t="n"/>
      <c r="E275" s="21" t="n"/>
      <c r="F275" s="19" t="n"/>
      <c r="G275" s="22" t="n"/>
      <c r="H275" s="19" t="n"/>
      <c r="I275" s="22" t="n"/>
      <c r="J275" s="20" t="n"/>
      <c r="K275" s="19" t="n"/>
      <c r="L275" s="23">
        <f>IF($E275="","",IFERROR(VLOOKUP($D275,'Plan setup'!$A$17:$B$21,2,FALSE),0))</f>
        <v/>
      </c>
      <c r="M275" s="17">
        <f>IF($E275="","",$E275*$L275)</f>
        <v/>
      </c>
      <c r="N275" s="17">
        <f>IF(OR($E275="",$F275=""),0,$M275*$G275)</f>
        <v/>
      </c>
      <c r="O275" s="17">
        <f>IF(OR($E275="",$H275=""),0,$M275*$I275)</f>
        <v/>
      </c>
      <c r="P275">
        <f>IF($J275="","",IF($J275-$B275&lt;='Plan setup'!$B$5,"Reversed","Outside window"))</f>
        <v/>
      </c>
      <c r="Q275" s="24">
        <f>IF($P275="Reversed",$J275,"")</f>
        <v/>
      </c>
      <c r="R275">
        <f>IF($E275="","",IF(ABS($G275+IF($I275="",0,$I275)-1)&gt;0.0001,"Splits must total 100%",IF(COUNTIF('Plan setup'!$A$25:$A$34,$F275)=0,"Rep 1 not in Plan setup",IF(IF($H275="",FALSE,COUNTIF('Plan setup'!$A$25:$A$34,$H275)=0),"Rep 2 not in Plan setup",IF(COUNTIF('Plan setup'!$A$17:$A$21,$D275)=0,"Unknown deal type",IF($P275="Outside window","Clawback outside window: not reversed","OK"))))))</f>
        <v/>
      </c>
      <c r="S275">
        <f>AND(ISNUMBER($B275),OR($F275=Statement!$C$3,$H275=Statement!$C$3),OR(AND($B275&gt;=Statement!$C$6,$B275&lt;=Statement!$C$7),AND(ISNUMBER($Q275),$Q275&gt;=Statement!$C$6,$Q275&lt;=Statement!$C$7)))</f>
        <v/>
      </c>
      <c r="T275">
        <f>IF($S275,COUNTIF($S$2:$S275,TRUE),"")</f>
        <v/>
      </c>
      <c r="U275" s="17">
        <f>IF($F275=Statement!$C$3,$N275,0)+IF($H275=Statement!$C$3,$O275,0)</f>
        <v/>
      </c>
      <c r="V275" s="17">
        <f>IF(NOT($S275),0,IF(AND($B275&gt;=Statement!$C$6,$B275&lt;=Statement!$C$7),$U275,0)-IF(ISNUMBER($Q275),IF(AND($Q275&gt;=Statement!$C$6,$Q275&lt;=Statement!$C$7),$U275,0),0))</f>
        <v/>
      </c>
      <c r="W275" s="23">
        <f>IF($F275=Statement!$C$3,$G275,0)+IF($H275=Statement!$C$3,IF($I275="",0,$I275),0)</f>
        <v/>
      </c>
      <c r="X275">
        <f>IF(NOT($S275),"",IF(ISNUMBER($Q275),IF(AND($Q275&gt;=Statement!$C$6,$Q275&lt;=Statement!$C$7),"Clawback: credit reversed",""),"")&amp;IF(AND($B275&gt;=Statement!$C$6,$B275&lt;=Statement!$C$7,N($L275)&lt;1),"Partial credit: "&amp;TEXT($L275,"0%"),""))</f>
        <v/>
      </c>
    </row>
    <row r="276">
      <c r="A276" s="19" t="n"/>
      <c r="B276" s="20" t="n"/>
      <c r="C276" s="19" t="n"/>
      <c r="D276" s="19" t="n"/>
      <c r="E276" s="21" t="n"/>
      <c r="F276" s="19" t="n"/>
      <c r="G276" s="22" t="n"/>
      <c r="H276" s="19" t="n"/>
      <c r="I276" s="22" t="n"/>
      <c r="J276" s="20" t="n"/>
      <c r="K276" s="19" t="n"/>
      <c r="L276" s="23">
        <f>IF($E276="","",IFERROR(VLOOKUP($D276,'Plan setup'!$A$17:$B$21,2,FALSE),0))</f>
        <v/>
      </c>
      <c r="M276" s="17">
        <f>IF($E276="","",$E276*$L276)</f>
        <v/>
      </c>
      <c r="N276" s="17">
        <f>IF(OR($E276="",$F276=""),0,$M276*$G276)</f>
        <v/>
      </c>
      <c r="O276" s="17">
        <f>IF(OR($E276="",$H276=""),0,$M276*$I276)</f>
        <v/>
      </c>
      <c r="P276">
        <f>IF($J276="","",IF($J276-$B276&lt;='Plan setup'!$B$5,"Reversed","Outside window"))</f>
        <v/>
      </c>
      <c r="Q276" s="24">
        <f>IF($P276="Reversed",$J276,"")</f>
        <v/>
      </c>
      <c r="R276">
        <f>IF($E276="","",IF(ABS($G276+IF($I276="",0,$I276)-1)&gt;0.0001,"Splits must total 100%",IF(COUNTIF('Plan setup'!$A$25:$A$34,$F276)=0,"Rep 1 not in Plan setup",IF(IF($H276="",FALSE,COUNTIF('Plan setup'!$A$25:$A$34,$H276)=0),"Rep 2 not in Plan setup",IF(COUNTIF('Plan setup'!$A$17:$A$21,$D276)=0,"Unknown deal type",IF($P276="Outside window","Clawback outside window: not reversed","OK"))))))</f>
        <v/>
      </c>
      <c r="S276">
        <f>AND(ISNUMBER($B276),OR($F276=Statement!$C$3,$H276=Statement!$C$3),OR(AND($B276&gt;=Statement!$C$6,$B276&lt;=Statement!$C$7),AND(ISNUMBER($Q276),$Q276&gt;=Statement!$C$6,$Q276&lt;=Statement!$C$7)))</f>
        <v/>
      </c>
      <c r="T276">
        <f>IF($S276,COUNTIF($S$2:$S276,TRUE),"")</f>
        <v/>
      </c>
      <c r="U276" s="17">
        <f>IF($F276=Statement!$C$3,$N276,0)+IF($H276=Statement!$C$3,$O276,0)</f>
        <v/>
      </c>
      <c r="V276" s="17">
        <f>IF(NOT($S276),0,IF(AND($B276&gt;=Statement!$C$6,$B276&lt;=Statement!$C$7),$U276,0)-IF(ISNUMBER($Q276),IF(AND($Q276&gt;=Statement!$C$6,$Q276&lt;=Statement!$C$7),$U276,0),0))</f>
        <v/>
      </c>
      <c r="W276" s="23">
        <f>IF($F276=Statement!$C$3,$G276,0)+IF($H276=Statement!$C$3,IF($I276="",0,$I276),0)</f>
        <v/>
      </c>
      <c r="X276">
        <f>IF(NOT($S276),"",IF(ISNUMBER($Q276),IF(AND($Q276&gt;=Statement!$C$6,$Q276&lt;=Statement!$C$7),"Clawback: credit reversed",""),"")&amp;IF(AND($B276&gt;=Statement!$C$6,$B276&lt;=Statement!$C$7,N($L276)&lt;1),"Partial credit: "&amp;TEXT($L276,"0%"),""))</f>
        <v/>
      </c>
    </row>
    <row r="277">
      <c r="A277" s="19" t="n"/>
      <c r="B277" s="20" t="n"/>
      <c r="C277" s="19" t="n"/>
      <c r="D277" s="19" t="n"/>
      <c r="E277" s="21" t="n"/>
      <c r="F277" s="19" t="n"/>
      <c r="G277" s="22" t="n"/>
      <c r="H277" s="19" t="n"/>
      <c r="I277" s="22" t="n"/>
      <c r="J277" s="20" t="n"/>
      <c r="K277" s="19" t="n"/>
      <c r="L277" s="23">
        <f>IF($E277="","",IFERROR(VLOOKUP($D277,'Plan setup'!$A$17:$B$21,2,FALSE),0))</f>
        <v/>
      </c>
      <c r="M277" s="17">
        <f>IF($E277="","",$E277*$L277)</f>
        <v/>
      </c>
      <c r="N277" s="17">
        <f>IF(OR($E277="",$F277=""),0,$M277*$G277)</f>
        <v/>
      </c>
      <c r="O277" s="17">
        <f>IF(OR($E277="",$H277=""),0,$M277*$I277)</f>
        <v/>
      </c>
      <c r="P277">
        <f>IF($J277="","",IF($J277-$B277&lt;='Plan setup'!$B$5,"Reversed","Outside window"))</f>
        <v/>
      </c>
      <c r="Q277" s="24">
        <f>IF($P277="Reversed",$J277,"")</f>
        <v/>
      </c>
      <c r="R277">
        <f>IF($E277="","",IF(ABS($G277+IF($I277="",0,$I277)-1)&gt;0.0001,"Splits must total 100%",IF(COUNTIF('Plan setup'!$A$25:$A$34,$F277)=0,"Rep 1 not in Plan setup",IF(IF($H277="",FALSE,COUNTIF('Plan setup'!$A$25:$A$34,$H277)=0),"Rep 2 not in Plan setup",IF(COUNTIF('Plan setup'!$A$17:$A$21,$D277)=0,"Unknown deal type",IF($P277="Outside window","Clawback outside window: not reversed","OK"))))))</f>
        <v/>
      </c>
      <c r="S277">
        <f>AND(ISNUMBER($B277),OR($F277=Statement!$C$3,$H277=Statement!$C$3),OR(AND($B277&gt;=Statement!$C$6,$B277&lt;=Statement!$C$7),AND(ISNUMBER($Q277),$Q277&gt;=Statement!$C$6,$Q277&lt;=Statement!$C$7)))</f>
        <v/>
      </c>
      <c r="T277">
        <f>IF($S277,COUNTIF($S$2:$S277,TRUE),"")</f>
        <v/>
      </c>
      <c r="U277" s="17">
        <f>IF($F277=Statement!$C$3,$N277,0)+IF($H277=Statement!$C$3,$O277,0)</f>
        <v/>
      </c>
      <c r="V277" s="17">
        <f>IF(NOT($S277),0,IF(AND($B277&gt;=Statement!$C$6,$B277&lt;=Statement!$C$7),$U277,0)-IF(ISNUMBER($Q277),IF(AND($Q277&gt;=Statement!$C$6,$Q277&lt;=Statement!$C$7),$U277,0),0))</f>
        <v/>
      </c>
      <c r="W277" s="23">
        <f>IF($F277=Statement!$C$3,$G277,0)+IF($H277=Statement!$C$3,IF($I277="",0,$I277),0)</f>
        <v/>
      </c>
      <c r="X277">
        <f>IF(NOT($S277),"",IF(ISNUMBER($Q277),IF(AND($Q277&gt;=Statement!$C$6,$Q277&lt;=Statement!$C$7),"Clawback: credit reversed",""),"")&amp;IF(AND($B277&gt;=Statement!$C$6,$B277&lt;=Statement!$C$7,N($L277)&lt;1),"Partial credit: "&amp;TEXT($L277,"0%"),""))</f>
        <v/>
      </c>
    </row>
    <row r="278">
      <c r="A278" s="19" t="n"/>
      <c r="B278" s="20" t="n"/>
      <c r="C278" s="19" t="n"/>
      <c r="D278" s="19" t="n"/>
      <c r="E278" s="21" t="n"/>
      <c r="F278" s="19" t="n"/>
      <c r="G278" s="22" t="n"/>
      <c r="H278" s="19" t="n"/>
      <c r="I278" s="22" t="n"/>
      <c r="J278" s="20" t="n"/>
      <c r="K278" s="19" t="n"/>
      <c r="L278" s="23">
        <f>IF($E278="","",IFERROR(VLOOKUP($D278,'Plan setup'!$A$17:$B$21,2,FALSE),0))</f>
        <v/>
      </c>
      <c r="M278" s="17">
        <f>IF($E278="","",$E278*$L278)</f>
        <v/>
      </c>
      <c r="N278" s="17">
        <f>IF(OR($E278="",$F278=""),0,$M278*$G278)</f>
        <v/>
      </c>
      <c r="O278" s="17">
        <f>IF(OR($E278="",$H278=""),0,$M278*$I278)</f>
        <v/>
      </c>
      <c r="P278">
        <f>IF($J278="","",IF($J278-$B278&lt;='Plan setup'!$B$5,"Reversed","Outside window"))</f>
        <v/>
      </c>
      <c r="Q278" s="24">
        <f>IF($P278="Reversed",$J278,"")</f>
        <v/>
      </c>
      <c r="R278">
        <f>IF($E278="","",IF(ABS($G278+IF($I278="",0,$I278)-1)&gt;0.0001,"Splits must total 100%",IF(COUNTIF('Plan setup'!$A$25:$A$34,$F278)=0,"Rep 1 not in Plan setup",IF(IF($H278="",FALSE,COUNTIF('Plan setup'!$A$25:$A$34,$H278)=0),"Rep 2 not in Plan setup",IF(COUNTIF('Plan setup'!$A$17:$A$21,$D278)=0,"Unknown deal type",IF($P278="Outside window","Clawback outside window: not reversed","OK"))))))</f>
        <v/>
      </c>
      <c r="S278">
        <f>AND(ISNUMBER($B278),OR($F278=Statement!$C$3,$H278=Statement!$C$3),OR(AND($B278&gt;=Statement!$C$6,$B278&lt;=Statement!$C$7),AND(ISNUMBER($Q278),$Q278&gt;=Statement!$C$6,$Q278&lt;=Statement!$C$7)))</f>
        <v/>
      </c>
      <c r="T278">
        <f>IF($S278,COUNTIF($S$2:$S278,TRUE),"")</f>
        <v/>
      </c>
      <c r="U278" s="17">
        <f>IF($F278=Statement!$C$3,$N278,0)+IF($H278=Statement!$C$3,$O278,0)</f>
        <v/>
      </c>
      <c r="V278" s="17">
        <f>IF(NOT($S278),0,IF(AND($B278&gt;=Statement!$C$6,$B278&lt;=Statement!$C$7),$U278,0)-IF(ISNUMBER($Q278),IF(AND($Q278&gt;=Statement!$C$6,$Q278&lt;=Statement!$C$7),$U278,0),0))</f>
        <v/>
      </c>
      <c r="W278" s="23">
        <f>IF($F278=Statement!$C$3,$G278,0)+IF($H278=Statement!$C$3,IF($I278="",0,$I278),0)</f>
        <v/>
      </c>
      <c r="X278">
        <f>IF(NOT($S278),"",IF(ISNUMBER($Q278),IF(AND($Q278&gt;=Statement!$C$6,$Q278&lt;=Statement!$C$7),"Clawback: credit reversed",""),"")&amp;IF(AND($B278&gt;=Statement!$C$6,$B278&lt;=Statement!$C$7,N($L278)&lt;1),"Partial credit: "&amp;TEXT($L278,"0%"),""))</f>
        <v/>
      </c>
    </row>
    <row r="279">
      <c r="A279" s="19" t="n"/>
      <c r="B279" s="20" t="n"/>
      <c r="C279" s="19" t="n"/>
      <c r="D279" s="19" t="n"/>
      <c r="E279" s="21" t="n"/>
      <c r="F279" s="19" t="n"/>
      <c r="G279" s="22" t="n"/>
      <c r="H279" s="19" t="n"/>
      <c r="I279" s="22" t="n"/>
      <c r="J279" s="20" t="n"/>
      <c r="K279" s="19" t="n"/>
      <c r="L279" s="23">
        <f>IF($E279="","",IFERROR(VLOOKUP($D279,'Plan setup'!$A$17:$B$21,2,FALSE),0))</f>
        <v/>
      </c>
      <c r="M279" s="17">
        <f>IF($E279="","",$E279*$L279)</f>
        <v/>
      </c>
      <c r="N279" s="17">
        <f>IF(OR($E279="",$F279=""),0,$M279*$G279)</f>
        <v/>
      </c>
      <c r="O279" s="17">
        <f>IF(OR($E279="",$H279=""),0,$M279*$I279)</f>
        <v/>
      </c>
      <c r="P279">
        <f>IF($J279="","",IF($J279-$B279&lt;='Plan setup'!$B$5,"Reversed","Outside window"))</f>
        <v/>
      </c>
      <c r="Q279" s="24">
        <f>IF($P279="Reversed",$J279,"")</f>
        <v/>
      </c>
      <c r="R279">
        <f>IF($E279="","",IF(ABS($G279+IF($I279="",0,$I279)-1)&gt;0.0001,"Splits must total 100%",IF(COUNTIF('Plan setup'!$A$25:$A$34,$F279)=0,"Rep 1 not in Plan setup",IF(IF($H279="",FALSE,COUNTIF('Plan setup'!$A$25:$A$34,$H279)=0),"Rep 2 not in Plan setup",IF(COUNTIF('Plan setup'!$A$17:$A$21,$D279)=0,"Unknown deal type",IF($P279="Outside window","Clawback outside window: not reversed","OK"))))))</f>
        <v/>
      </c>
      <c r="S279">
        <f>AND(ISNUMBER($B279),OR($F279=Statement!$C$3,$H279=Statement!$C$3),OR(AND($B279&gt;=Statement!$C$6,$B279&lt;=Statement!$C$7),AND(ISNUMBER($Q279),$Q279&gt;=Statement!$C$6,$Q279&lt;=Statement!$C$7)))</f>
        <v/>
      </c>
      <c r="T279">
        <f>IF($S279,COUNTIF($S$2:$S279,TRUE),"")</f>
        <v/>
      </c>
      <c r="U279" s="17">
        <f>IF($F279=Statement!$C$3,$N279,0)+IF($H279=Statement!$C$3,$O279,0)</f>
        <v/>
      </c>
      <c r="V279" s="17">
        <f>IF(NOT($S279),0,IF(AND($B279&gt;=Statement!$C$6,$B279&lt;=Statement!$C$7),$U279,0)-IF(ISNUMBER($Q279),IF(AND($Q279&gt;=Statement!$C$6,$Q279&lt;=Statement!$C$7),$U279,0),0))</f>
        <v/>
      </c>
      <c r="W279" s="23">
        <f>IF($F279=Statement!$C$3,$G279,0)+IF($H279=Statement!$C$3,IF($I279="",0,$I279),0)</f>
        <v/>
      </c>
      <c r="X279">
        <f>IF(NOT($S279),"",IF(ISNUMBER($Q279),IF(AND($Q279&gt;=Statement!$C$6,$Q279&lt;=Statement!$C$7),"Clawback: credit reversed",""),"")&amp;IF(AND($B279&gt;=Statement!$C$6,$B279&lt;=Statement!$C$7,N($L279)&lt;1),"Partial credit: "&amp;TEXT($L279,"0%"),""))</f>
        <v/>
      </c>
    </row>
    <row r="280">
      <c r="A280" s="19" t="n"/>
      <c r="B280" s="20" t="n"/>
      <c r="C280" s="19" t="n"/>
      <c r="D280" s="19" t="n"/>
      <c r="E280" s="21" t="n"/>
      <c r="F280" s="19" t="n"/>
      <c r="G280" s="22" t="n"/>
      <c r="H280" s="19" t="n"/>
      <c r="I280" s="22" t="n"/>
      <c r="J280" s="20" t="n"/>
      <c r="K280" s="19" t="n"/>
      <c r="L280" s="23">
        <f>IF($E280="","",IFERROR(VLOOKUP($D280,'Plan setup'!$A$17:$B$21,2,FALSE),0))</f>
        <v/>
      </c>
      <c r="M280" s="17">
        <f>IF($E280="","",$E280*$L280)</f>
        <v/>
      </c>
      <c r="N280" s="17">
        <f>IF(OR($E280="",$F280=""),0,$M280*$G280)</f>
        <v/>
      </c>
      <c r="O280" s="17">
        <f>IF(OR($E280="",$H280=""),0,$M280*$I280)</f>
        <v/>
      </c>
      <c r="P280">
        <f>IF($J280="","",IF($J280-$B280&lt;='Plan setup'!$B$5,"Reversed","Outside window"))</f>
        <v/>
      </c>
      <c r="Q280" s="24">
        <f>IF($P280="Reversed",$J280,"")</f>
        <v/>
      </c>
      <c r="R280">
        <f>IF($E280="","",IF(ABS($G280+IF($I280="",0,$I280)-1)&gt;0.0001,"Splits must total 100%",IF(COUNTIF('Plan setup'!$A$25:$A$34,$F280)=0,"Rep 1 not in Plan setup",IF(IF($H280="",FALSE,COUNTIF('Plan setup'!$A$25:$A$34,$H280)=0),"Rep 2 not in Plan setup",IF(COUNTIF('Plan setup'!$A$17:$A$21,$D280)=0,"Unknown deal type",IF($P280="Outside window","Clawback outside window: not reversed","OK"))))))</f>
        <v/>
      </c>
      <c r="S280">
        <f>AND(ISNUMBER($B280),OR($F280=Statement!$C$3,$H280=Statement!$C$3),OR(AND($B280&gt;=Statement!$C$6,$B280&lt;=Statement!$C$7),AND(ISNUMBER($Q280),$Q280&gt;=Statement!$C$6,$Q280&lt;=Statement!$C$7)))</f>
        <v/>
      </c>
      <c r="T280">
        <f>IF($S280,COUNTIF($S$2:$S280,TRUE),"")</f>
        <v/>
      </c>
      <c r="U280" s="17">
        <f>IF($F280=Statement!$C$3,$N280,0)+IF($H280=Statement!$C$3,$O280,0)</f>
        <v/>
      </c>
      <c r="V280" s="17">
        <f>IF(NOT($S280),0,IF(AND($B280&gt;=Statement!$C$6,$B280&lt;=Statement!$C$7),$U280,0)-IF(ISNUMBER($Q280),IF(AND($Q280&gt;=Statement!$C$6,$Q280&lt;=Statement!$C$7),$U280,0),0))</f>
        <v/>
      </c>
      <c r="W280" s="23">
        <f>IF($F280=Statement!$C$3,$G280,0)+IF($H280=Statement!$C$3,IF($I280="",0,$I280),0)</f>
        <v/>
      </c>
      <c r="X280">
        <f>IF(NOT($S280),"",IF(ISNUMBER($Q280),IF(AND($Q280&gt;=Statement!$C$6,$Q280&lt;=Statement!$C$7),"Clawback: credit reversed",""),"")&amp;IF(AND($B280&gt;=Statement!$C$6,$B280&lt;=Statement!$C$7,N($L280)&lt;1),"Partial credit: "&amp;TEXT($L280,"0%"),""))</f>
        <v/>
      </c>
    </row>
    <row r="281">
      <c r="A281" s="19" t="n"/>
      <c r="B281" s="20" t="n"/>
      <c r="C281" s="19" t="n"/>
      <c r="D281" s="19" t="n"/>
      <c r="E281" s="21" t="n"/>
      <c r="F281" s="19" t="n"/>
      <c r="G281" s="22" t="n"/>
      <c r="H281" s="19" t="n"/>
      <c r="I281" s="22" t="n"/>
      <c r="J281" s="20" t="n"/>
      <c r="K281" s="19" t="n"/>
      <c r="L281" s="23">
        <f>IF($E281="","",IFERROR(VLOOKUP($D281,'Plan setup'!$A$17:$B$21,2,FALSE),0))</f>
        <v/>
      </c>
      <c r="M281" s="17">
        <f>IF($E281="","",$E281*$L281)</f>
        <v/>
      </c>
      <c r="N281" s="17">
        <f>IF(OR($E281="",$F281=""),0,$M281*$G281)</f>
        <v/>
      </c>
      <c r="O281" s="17">
        <f>IF(OR($E281="",$H281=""),0,$M281*$I281)</f>
        <v/>
      </c>
      <c r="P281">
        <f>IF($J281="","",IF($J281-$B281&lt;='Plan setup'!$B$5,"Reversed","Outside window"))</f>
        <v/>
      </c>
      <c r="Q281" s="24">
        <f>IF($P281="Reversed",$J281,"")</f>
        <v/>
      </c>
      <c r="R281">
        <f>IF($E281="","",IF(ABS($G281+IF($I281="",0,$I281)-1)&gt;0.0001,"Splits must total 100%",IF(COUNTIF('Plan setup'!$A$25:$A$34,$F281)=0,"Rep 1 not in Plan setup",IF(IF($H281="",FALSE,COUNTIF('Plan setup'!$A$25:$A$34,$H281)=0),"Rep 2 not in Plan setup",IF(COUNTIF('Plan setup'!$A$17:$A$21,$D281)=0,"Unknown deal type",IF($P281="Outside window","Clawback outside window: not reversed","OK"))))))</f>
        <v/>
      </c>
      <c r="S281">
        <f>AND(ISNUMBER($B281),OR($F281=Statement!$C$3,$H281=Statement!$C$3),OR(AND($B281&gt;=Statement!$C$6,$B281&lt;=Statement!$C$7),AND(ISNUMBER($Q281),$Q281&gt;=Statement!$C$6,$Q281&lt;=Statement!$C$7)))</f>
        <v/>
      </c>
      <c r="T281">
        <f>IF($S281,COUNTIF($S$2:$S281,TRUE),"")</f>
        <v/>
      </c>
      <c r="U281" s="17">
        <f>IF($F281=Statement!$C$3,$N281,0)+IF($H281=Statement!$C$3,$O281,0)</f>
        <v/>
      </c>
      <c r="V281" s="17">
        <f>IF(NOT($S281),0,IF(AND($B281&gt;=Statement!$C$6,$B281&lt;=Statement!$C$7),$U281,0)-IF(ISNUMBER($Q281),IF(AND($Q281&gt;=Statement!$C$6,$Q281&lt;=Statement!$C$7),$U281,0),0))</f>
        <v/>
      </c>
      <c r="W281" s="23">
        <f>IF($F281=Statement!$C$3,$G281,0)+IF($H281=Statement!$C$3,IF($I281="",0,$I281),0)</f>
        <v/>
      </c>
      <c r="X281">
        <f>IF(NOT($S281),"",IF(ISNUMBER($Q281),IF(AND($Q281&gt;=Statement!$C$6,$Q281&lt;=Statement!$C$7),"Clawback: credit reversed",""),"")&amp;IF(AND($B281&gt;=Statement!$C$6,$B281&lt;=Statement!$C$7,N($L281)&lt;1),"Partial credit: "&amp;TEXT($L281,"0%"),""))</f>
        <v/>
      </c>
    </row>
    <row r="282">
      <c r="A282" s="19" t="n"/>
      <c r="B282" s="20" t="n"/>
      <c r="C282" s="19" t="n"/>
      <c r="D282" s="19" t="n"/>
      <c r="E282" s="21" t="n"/>
      <c r="F282" s="19" t="n"/>
      <c r="G282" s="22" t="n"/>
      <c r="H282" s="19" t="n"/>
      <c r="I282" s="22" t="n"/>
      <c r="J282" s="20" t="n"/>
      <c r="K282" s="19" t="n"/>
      <c r="L282" s="23">
        <f>IF($E282="","",IFERROR(VLOOKUP($D282,'Plan setup'!$A$17:$B$21,2,FALSE),0))</f>
        <v/>
      </c>
      <c r="M282" s="17">
        <f>IF($E282="","",$E282*$L282)</f>
        <v/>
      </c>
      <c r="N282" s="17">
        <f>IF(OR($E282="",$F282=""),0,$M282*$G282)</f>
        <v/>
      </c>
      <c r="O282" s="17">
        <f>IF(OR($E282="",$H282=""),0,$M282*$I282)</f>
        <v/>
      </c>
      <c r="P282">
        <f>IF($J282="","",IF($J282-$B282&lt;='Plan setup'!$B$5,"Reversed","Outside window"))</f>
        <v/>
      </c>
      <c r="Q282" s="24">
        <f>IF($P282="Reversed",$J282,"")</f>
        <v/>
      </c>
      <c r="R282">
        <f>IF($E282="","",IF(ABS($G282+IF($I282="",0,$I282)-1)&gt;0.0001,"Splits must total 100%",IF(COUNTIF('Plan setup'!$A$25:$A$34,$F282)=0,"Rep 1 not in Plan setup",IF(IF($H282="",FALSE,COUNTIF('Plan setup'!$A$25:$A$34,$H282)=0),"Rep 2 not in Plan setup",IF(COUNTIF('Plan setup'!$A$17:$A$21,$D282)=0,"Unknown deal type",IF($P282="Outside window","Clawback outside window: not reversed","OK"))))))</f>
        <v/>
      </c>
      <c r="S282">
        <f>AND(ISNUMBER($B282),OR($F282=Statement!$C$3,$H282=Statement!$C$3),OR(AND($B282&gt;=Statement!$C$6,$B282&lt;=Statement!$C$7),AND(ISNUMBER($Q282),$Q282&gt;=Statement!$C$6,$Q282&lt;=Statement!$C$7)))</f>
        <v/>
      </c>
      <c r="T282">
        <f>IF($S282,COUNTIF($S$2:$S282,TRUE),"")</f>
        <v/>
      </c>
      <c r="U282" s="17">
        <f>IF($F282=Statement!$C$3,$N282,0)+IF($H282=Statement!$C$3,$O282,0)</f>
        <v/>
      </c>
      <c r="V282" s="17">
        <f>IF(NOT($S282),0,IF(AND($B282&gt;=Statement!$C$6,$B282&lt;=Statement!$C$7),$U282,0)-IF(ISNUMBER($Q282),IF(AND($Q282&gt;=Statement!$C$6,$Q282&lt;=Statement!$C$7),$U282,0),0))</f>
        <v/>
      </c>
      <c r="W282" s="23">
        <f>IF($F282=Statement!$C$3,$G282,0)+IF($H282=Statement!$C$3,IF($I282="",0,$I282),0)</f>
        <v/>
      </c>
      <c r="X282">
        <f>IF(NOT($S282),"",IF(ISNUMBER($Q282),IF(AND($Q282&gt;=Statement!$C$6,$Q282&lt;=Statement!$C$7),"Clawback: credit reversed",""),"")&amp;IF(AND($B282&gt;=Statement!$C$6,$B282&lt;=Statement!$C$7,N($L282)&lt;1),"Partial credit: "&amp;TEXT($L282,"0%"),""))</f>
        <v/>
      </c>
    </row>
    <row r="283">
      <c r="A283" s="19" t="n"/>
      <c r="B283" s="20" t="n"/>
      <c r="C283" s="19" t="n"/>
      <c r="D283" s="19" t="n"/>
      <c r="E283" s="21" t="n"/>
      <c r="F283" s="19" t="n"/>
      <c r="G283" s="22" t="n"/>
      <c r="H283" s="19" t="n"/>
      <c r="I283" s="22" t="n"/>
      <c r="J283" s="20" t="n"/>
      <c r="K283" s="19" t="n"/>
      <c r="L283" s="23">
        <f>IF($E283="","",IFERROR(VLOOKUP($D283,'Plan setup'!$A$17:$B$21,2,FALSE),0))</f>
        <v/>
      </c>
      <c r="M283" s="17">
        <f>IF($E283="","",$E283*$L283)</f>
        <v/>
      </c>
      <c r="N283" s="17">
        <f>IF(OR($E283="",$F283=""),0,$M283*$G283)</f>
        <v/>
      </c>
      <c r="O283" s="17">
        <f>IF(OR($E283="",$H283=""),0,$M283*$I283)</f>
        <v/>
      </c>
      <c r="P283">
        <f>IF($J283="","",IF($J283-$B283&lt;='Plan setup'!$B$5,"Reversed","Outside window"))</f>
        <v/>
      </c>
      <c r="Q283" s="24">
        <f>IF($P283="Reversed",$J283,"")</f>
        <v/>
      </c>
      <c r="R283">
        <f>IF($E283="","",IF(ABS($G283+IF($I283="",0,$I283)-1)&gt;0.0001,"Splits must total 100%",IF(COUNTIF('Plan setup'!$A$25:$A$34,$F283)=0,"Rep 1 not in Plan setup",IF(IF($H283="",FALSE,COUNTIF('Plan setup'!$A$25:$A$34,$H283)=0),"Rep 2 not in Plan setup",IF(COUNTIF('Plan setup'!$A$17:$A$21,$D283)=0,"Unknown deal type",IF($P283="Outside window","Clawback outside window: not reversed","OK"))))))</f>
        <v/>
      </c>
      <c r="S283">
        <f>AND(ISNUMBER($B283),OR($F283=Statement!$C$3,$H283=Statement!$C$3),OR(AND($B283&gt;=Statement!$C$6,$B283&lt;=Statement!$C$7),AND(ISNUMBER($Q283),$Q283&gt;=Statement!$C$6,$Q283&lt;=Statement!$C$7)))</f>
        <v/>
      </c>
      <c r="T283">
        <f>IF($S283,COUNTIF($S$2:$S283,TRUE),"")</f>
        <v/>
      </c>
      <c r="U283" s="17">
        <f>IF($F283=Statement!$C$3,$N283,0)+IF($H283=Statement!$C$3,$O283,0)</f>
        <v/>
      </c>
      <c r="V283" s="17">
        <f>IF(NOT($S283),0,IF(AND($B283&gt;=Statement!$C$6,$B283&lt;=Statement!$C$7),$U283,0)-IF(ISNUMBER($Q283),IF(AND($Q283&gt;=Statement!$C$6,$Q283&lt;=Statement!$C$7),$U283,0),0))</f>
        <v/>
      </c>
      <c r="W283" s="23">
        <f>IF($F283=Statement!$C$3,$G283,0)+IF($H283=Statement!$C$3,IF($I283="",0,$I283),0)</f>
        <v/>
      </c>
      <c r="X283">
        <f>IF(NOT($S283),"",IF(ISNUMBER($Q283),IF(AND($Q283&gt;=Statement!$C$6,$Q283&lt;=Statement!$C$7),"Clawback: credit reversed",""),"")&amp;IF(AND($B283&gt;=Statement!$C$6,$B283&lt;=Statement!$C$7,N($L283)&lt;1),"Partial credit: "&amp;TEXT($L283,"0%"),""))</f>
        <v/>
      </c>
    </row>
    <row r="284">
      <c r="A284" s="19" t="n"/>
      <c r="B284" s="20" t="n"/>
      <c r="C284" s="19" t="n"/>
      <c r="D284" s="19" t="n"/>
      <c r="E284" s="21" t="n"/>
      <c r="F284" s="19" t="n"/>
      <c r="G284" s="22" t="n"/>
      <c r="H284" s="19" t="n"/>
      <c r="I284" s="22" t="n"/>
      <c r="J284" s="20" t="n"/>
      <c r="K284" s="19" t="n"/>
      <c r="L284" s="23">
        <f>IF($E284="","",IFERROR(VLOOKUP($D284,'Plan setup'!$A$17:$B$21,2,FALSE),0))</f>
        <v/>
      </c>
      <c r="M284" s="17">
        <f>IF($E284="","",$E284*$L284)</f>
        <v/>
      </c>
      <c r="N284" s="17">
        <f>IF(OR($E284="",$F284=""),0,$M284*$G284)</f>
        <v/>
      </c>
      <c r="O284" s="17">
        <f>IF(OR($E284="",$H284=""),0,$M284*$I284)</f>
        <v/>
      </c>
      <c r="P284">
        <f>IF($J284="","",IF($J284-$B284&lt;='Plan setup'!$B$5,"Reversed","Outside window"))</f>
        <v/>
      </c>
      <c r="Q284" s="24">
        <f>IF($P284="Reversed",$J284,"")</f>
        <v/>
      </c>
      <c r="R284">
        <f>IF($E284="","",IF(ABS($G284+IF($I284="",0,$I284)-1)&gt;0.0001,"Splits must total 100%",IF(COUNTIF('Plan setup'!$A$25:$A$34,$F284)=0,"Rep 1 not in Plan setup",IF(IF($H284="",FALSE,COUNTIF('Plan setup'!$A$25:$A$34,$H284)=0),"Rep 2 not in Plan setup",IF(COUNTIF('Plan setup'!$A$17:$A$21,$D284)=0,"Unknown deal type",IF($P284="Outside window","Clawback outside window: not reversed","OK"))))))</f>
        <v/>
      </c>
      <c r="S284">
        <f>AND(ISNUMBER($B284),OR($F284=Statement!$C$3,$H284=Statement!$C$3),OR(AND($B284&gt;=Statement!$C$6,$B284&lt;=Statement!$C$7),AND(ISNUMBER($Q284),$Q284&gt;=Statement!$C$6,$Q284&lt;=Statement!$C$7)))</f>
        <v/>
      </c>
      <c r="T284">
        <f>IF($S284,COUNTIF($S$2:$S284,TRUE),"")</f>
        <v/>
      </c>
      <c r="U284" s="17">
        <f>IF($F284=Statement!$C$3,$N284,0)+IF($H284=Statement!$C$3,$O284,0)</f>
        <v/>
      </c>
      <c r="V284" s="17">
        <f>IF(NOT($S284),0,IF(AND($B284&gt;=Statement!$C$6,$B284&lt;=Statement!$C$7),$U284,0)-IF(ISNUMBER($Q284),IF(AND($Q284&gt;=Statement!$C$6,$Q284&lt;=Statement!$C$7),$U284,0),0))</f>
        <v/>
      </c>
      <c r="W284" s="23">
        <f>IF($F284=Statement!$C$3,$G284,0)+IF($H284=Statement!$C$3,IF($I284="",0,$I284),0)</f>
        <v/>
      </c>
      <c r="X284">
        <f>IF(NOT($S284),"",IF(ISNUMBER($Q284),IF(AND($Q284&gt;=Statement!$C$6,$Q284&lt;=Statement!$C$7),"Clawback: credit reversed",""),"")&amp;IF(AND($B284&gt;=Statement!$C$6,$B284&lt;=Statement!$C$7,N($L284)&lt;1),"Partial credit: "&amp;TEXT($L284,"0%"),""))</f>
        <v/>
      </c>
    </row>
    <row r="285">
      <c r="A285" s="19" t="n"/>
      <c r="B285" s="20" t="n"/>
      <c r="C285" s="19" t="n"/>
      <c r="D285" s="19" t="n"/>
      <c r="E285" s="21" t="n"/>
      <c r="F285" s="19" t="n"/>
      <c r="G285" s="22" t="n"/>
      <c r="H285" s="19" t="n"/>
      <c r="I285" s="22" t="n"/>
      <c r="J285" s="20" t="n"/>
      <c r="K285" s="19" t="n"/>
      <c r="L285" s="23">
        <f>IF($E285="","",IFERROR(VLOOKUP($D285,'Plan setup'!$A$17:$B$21,2,FALSE),0))</f>
        <v/>
      </c>
      <c r="M285" s="17">
        <f>IF($E285="","",$E285*$L285)</f>
        <v/>
      </c>
      <c r="N285" s="17">
        <f>IF(OR($E285="",$F285=""),0,$M285*$G285)</f>
        <v/>
      </c>
      <c r="O285" s="17">
        <f>IF(OR($E285="",$H285=""),0,$M285*$I285)</f>
        <v/>
      </c>
      <c r="P285">
        <f>IF($J285="","",IF($J285-$B285&lt;='Plan setup'!$B$5,"Reversed","Outside window"))</f>
        <v/>
      </c>
      <c r="Q285" s="24">
        <f>IF($P285="Reversed",$J285,"")</f>
        <v/>
      </c>
      <c r="R285">
        <f>IF($E285="","",IF(ABS($G285+IF($I285="",0,$I285)-1)&gt;0.0001,"Splits must total 100%",IF(COUNTIF('Plan setup'!$A$25:$A$34,$F285)=0,"Rep 1 not in Plan setup",IF(IF($H285="",FALSE,COUNTIF('Plan setup'!$A$25:$A$34,$H285)=0),"Rep 2 not in Plan setup",IF(COUNTIF('Plan setup'!$A$17:$A$21,$D285)=0,"Unknown deal type",IF($P285="Outside window","Clawback outside window: not reversed","OK"))))))</f>
        <v/>
      </c>
      <c r="S285">
        <f>AND(ISNUMBER($B285),OR($F285=Statement!$C$3,$H285=Statement!$C$3),OR(AND($B285&gt;=Statement!$C$6,$B285&lt;=Statement!$C$7),AND(ISNUMBER($Q285),$Q285&gt;=Statement!$C$6,$Q285&lt;=Statement!$C$7)))</f>
        <v/>
      </c>
      <c r="T285">
        <f>IF($S285,COUNTIF($S$2:$S285,TRUE),"")</f>
        <v/>
      </c>
      <c r="U285" s="17">
        <f>IF($F285=Statement!$C$3,$N285,0)+IF($H285=Statement!$C$3,$O285,0)</f>
        <v/>
      </c>
      <c r="V285" s="17">
        <f>IF(NOT($S285),0,IF(AND($B285&gt;=Statement!$C$6,$B285&lt;=Statement!$C$7),$U285,0)-IF(ISNUMBER($Q285),IF(AND($Q285&gt;=Statement!$C$6,$Q285&lt;=Statement!$C$7),$U285,0),0))</f>
        <v/>
      </c>
      <c r="W285" s="23">
        <f>IF($F285=Statement!$C$3,$G285,0)+IF($H285=Statement!$C$3,IF($I285="",0,$I285),0)</f>
        <v/>
      </c>
      <c r="X285">
        <f>IF(NOT($S285),"",IF(ISNUMBER($Q285),IF(AND($Q285&gt;=Statement!$C$6,$Q285&lt;=Statement!$C$7),"Clawback: credit reversed",""),"")&amp;IF(AND($B285&gt;=Statement!$C$6,$B285&lt;=Statement!$C$7,N($L285)&lt;1),"Partial credit: "&amp;TEXT($L285,"0%"),""))</f>
        <v/>
      </c>
    </row>
    <row r="286">
      <c r="A286" s="19" t="n"/>
      <c r="B286" s="20" t="n"/>
      <c r="C286" s="19" t="n"/>
      <c r="D286" s="19" t="n"/>
      <c r="E286" s="21" t="n"/>
      <c r="F286" s="19" t="n"/>
      <c r="G286" s="22" t="n"/>
      <c r="H286" s="19" t="n"/>
      <c r="I286" s="22" t="n"/>
      <c r="J286" s="20" t="n"/>
      <c r="K286" s="19" t="n"/>
      <c r="L286" s="23">
        <f>IF($E286="","",IFERROR(VLOOKUP($D286,'Plan setup'!$A$17:$B$21,2,FALSE),0))</f>
        <v/>
      </c>
      <c r="M286" s="17">
        <f>IF($E286="","",$E286*$L286)</f>
        <v/>
      </c>
      <c r="N286" s="17">
        <f>IF(OR($E286="",$F286=""),0,$M286*$G286)</f>
        <v/>
      </c>
      <c r="O286" s="17">
        <f>IF(OR($E286="",$H286=""),0,$M286*$I286)</f>
        <v/>
      </c>
      <c r="P286">
        <f>IF($J286="","",IF($J286-$B286&lt;='Plan setup'!$B$5,"Reversed","Outside window"))</f>
        <v/>
      </c>
      <c r="Q286" s="24">
        <f>IF($P286="Reversed",$J286,"")</f>
        <v/>
      </c>
      <c r="R286">
        <f>IF($E286="","",IF(ABS($G286+IF($I286="",0,$I286)-1)&gt;0.0001,"Splits must total 100%",IF(COUNTIF('Plan setup'!$A$25:$A$34,$F286)=0,"Rep 1 not in Plan setup",IF(IF($H286="",FALSE,COUNTIF('Plan setup'!$A$25:$A$34,$H286)=0),"Rep 2 not in Plan setup",IF(COUNTIF('Plan setup'!$A$17:$A$21,$D286)=0,"Unknown deal type",IF($P286="Outside window","Clawback outside window: not reversed","OK"))))))</f>
        <v/>
      </c>
      <c r="S286">
        <f>AND(ISNUMBER($B286),OR($F286=Statement!$C$3,$H286=Statement!$C$3),OR(AND($B286&gt;=Statement!$C$6,$B286&lt;=Statement!$C$7),AND(ISNUMBER($Q286),$Q286&gt;=Statement!$C$6,$Q286&lt;=Statement!$C$7)))</f>
        <v/>
      </c>
      <c r="T286">
        <f>IF($S286,COUNTIF($S$2:$S286,TRUE),"")</f>
        <v/>
      </c>
      <c r="U286" s="17">
        <f>IF($F286=Statement!$C$3,$N286,0)+IF($H286=Statement!$C$3,$O286,0)</f>
        <v/>
      </c>
      <c r="V286" s="17">
        <f>IF(NOT($S286),0,IF(AND($B286&gt;=Statement!$C$6,$B286&lt;=Statement!$C$7),$U286,0)-IF(ISNUMBER($Q286),IF(AND($Q286&gt;=Statement!$C$6,$Q286&lt;=Statement!$C$7),$U286,0),0))</f>
        <v/>
      </c>
      <c r="W286" s="23">
        <f>IF($F286=Statement!$C$3,$G286,0)+IF($H286=Statement!$C$3,IF($I286="",0,$I286),0)</f>
        <v/>
      </c>
      <c r="X286">
        <f>IF(NOT($S286),"",IF(ISNUMBER($Q286),IF(AND($Q286&gt;=Statement!$C$6,$Q286&lt;=Statement!$C$7),"Clawback: credit reversed",""),"")&amp;IF(AND($B286&gt;=Statement!$C$6,$B286&lt;=Statement!$C$7,N($L286)&lt;1),"Partial credit: "&amp;TEXT($L286,"0%"),""))</f>
        <v/>
      </c>
    </row>
    <row r="287">
      <c r="A287" s="19" t="n"/>
      <c r="B287" s="20" t="n"/>
      <c r="C287" s="19" t="n"/>
      <c r="D287" s="19" t="n"/>
      <c r="E287" s="21" t="n"/>
      <c r="F287" s="19" t="n"/>
      <c r="G287" s="22" t="n"/>
      <c r="H287" s="19" t="n"/>
      <c r="I287" s="22" t="n"/>
      <c r="J287" s="20" t="n"/>
      <c r="K287" s="19" t="n"/>
      <c r="L287" s="23">
        <f>IF($E287="","",IFERROR(VLOOKUP($D287,'Plan setup'!$A$17:$B$21,2,FALSE),0))</f>
        <v/>
      </c>
      <c r="M287" s="17">
        <f>IF($E287="","",$E287*$L287)</f>
        <v/>
      </c>
      <c r="N287" s="17">
        <f>IF(OR($E287="",$F287=""),0,$M287*$G287)</f>
        <v/>
      </c>
      <c r="O287" s="17">
        <f>IF(OR($E287="",$H287=""),0,$M287*$I287)</f>
        <v/>
      </c>
      <c r="P287">
        <f>IF($J287="","",IF($J287-$B287&lt;='Plan setup'!$B$5,"Reversed","Outside window"))</f>
        <v/>
      </c>
      <c r="Q287" s="24">
        <f>IF($P287="Reversed",$J287,"")</f>
        <v/>
      </c>
      <c r="R287">
        <f>IF($E287="","",IF(ABS($G287+IF($I287="",0,$I287)-1)&gt;0.0001,"Splits must total 100%",IF(COUNTIF('Plan setup'!$A$25:$A$34,$F287)=0,"Rep 1 not in Plan setup",IF(IF($H287="",FALSE,COUNTIF('Plan setup'!$A$25:$A$34,$H287)=0),"Rep 2 not in Plan setup",IF(COUNTIF('Plan setup'!$A$17:$A$21,$D287)=0,"Unknown deal type",IF($P287="Outside window","Clawback outside window: not reversed","OK"))))))</f>
        <v/>
      </c>
      <c r="S287">
        <f>AND(ISNUMBER($B287),OR($F287=Statement!$C$3,$H287=Statement!$C$3),OR(AND($B287&gt;=Statement!$C$6,$B287&lt;=Statement!$C$7),AND(ISNUMBER($Q287),$Q287&gt;=Statement!$C$6,$Q287&lt;=Statement!$C$7)))</f>
        <v/>
      </c>
      <c r="T287">
        <f>IF($S287,COUNTIF($S$2:$S287,TRUE),"")</f>
        <v/>
      </c>
      <c r="U287" s="17">
        <f>IF($F287=Statement!$C$3,$N287,0)+IF($H287=Statement!$C$3,$O287,0)</f>
        <v/>
      </c>
      <c r="V287" s="17">
        <f>IF(NOT($S287),0,IF(AND($B287&gt;=Statement!$C$6,$B287&lt;=Statement!$C$7),$U287,0)-IF(ISNUMBER($Q287),IF(AND($Q287&gt;=Statement!$C$6,$Q287&lt;=Statement!$C$7),$U287,0),0))</f>
        <v/>
      </c>
      <c r="W287" s="23">
        <f>IF($F287=Statement!$C$3,$G287,0)+IF($H287=Statement!$C$3,IF($I287="",0,$I287),0)</f>
        <v/>
      </c>
      <c r="X287">
        <f>IF(NOT($S287),"",IF(ISNUMBER($Q287),IF(AND($Q287&gt;=Statement!$C$6,$Q287&lt;=Statement!$C$7),"Clawback: credit reversed",""),"")&amp;IF(AND($B287&gt;=Statement!$C$6,$B287&lt;=Statement!$C$7,N($L287)&lt;1),"Partial credit: "&amp;TEXT($L287,"0%"),""))</f>
        <v/>
      </c>
    </row>
    <row r="288">
      <c r="A288" s="19" t="n"/>
      <c r="B288" s="20" t="n"/>
      <c r="C288" s="19" t="n"/>
      <c r="D288" s="19" t="n"/>
      <c r="E288" s="21" t="n"/>
      <c r="F288" s="19" t="n"/>
      <c r="G288" s="22" t="n"/>
      <c r="H288" s="19" t="n"/>
      <c r="I288" s="22" t="n"/>
      <c r="J288" s="20" t="n"/>
      <c r="K288" s="19" t="n"/>
      <c r="L288" s="23">
        <f>IF($E288="","",IFERROR(VLOOKUP($D288,'Plan setup'!$A$17:$B$21,2,FALSE),0))</f>
        <v/>
      </c>
      <c r="M288" s="17">
        <f>IF($E288="","",$E288*$L288)</f>
        <v/>
      </c>
      <c r="N288" s="17">
        <f>IF(OR($E288="",$F288=""),0,$M288*$G288)</f>
        <v/>
      </c>
      <c r="O288" s="17">
        <f>IF(OR($E288="",$H288=""),0,$M288*$I288)</f>
        <v/>
      </c>
      <c r="P288">
        <f>IF($J288="","",IF($J288-$B288&lt;='Plan setup'!$B$5,"Reversed","Outside window"))</f>
        <v/>
      </c>
      <c r="Q288" s="24">
        <f>IF($P288="Reversed",$J288,"")</f>
        <v/>
      </c>
      <c r="R288">
        <f>IF($E288="","",IF(ABS($G288+IF($I288="",0,$I288)-1)&gt;0.0001,"Splits must total 100%",IF(COUNTIF('Plan setup'!$A$25:$A$34,$F288)=0,"Rep 1 not in Plan setup",IF(IF($H288="",FALSE,COUNTIF('Plan setup'!$A$25:$A$34,$H288)=0),"Rep 2 not in Plan setup",IF(COUNTIF('Plan setup'!$A$17:$A$21,$D288)=0,"Unknown deal type",IF($P288="Outside window","Clawback outside window: not reversed","OK"))))))</f>
        <v/>
      </c>
      <c r="S288">
        <f>AND(ISNUMBER($B288),OR($F288=Statement!$C$3,$H288=Statement!$C$3),OR(AND($B288&gt;=Statement!$C$6,$B288&lt;=Statement!$C$7),AND(ISNUMBER($Q288),$Q288&gt;=Statement!$C$6,$Q288&lt;=Statement!$C$7)))</f>
        <v/>
      </c>
      <c r="T288">
        <f>IF($S288,COUNTIF($S$2:$S288,TRUE),"")</f>
        <v/>
      </c>
      <c r="U288" s="17">
        <f>IF($F288=Statement!$C$3,$N288,0)+IF($H288=Statement!$C$3,$O288,0)</f>
        <v/>
      </c>
      <c r="V288" s="17">
        <f>IF(NOT($S288),0,IF(AND($B288&gt;=Statement!$C$6,$B288&lt;=Statement!$C$7),$U288,0)-IF(ISNUMBER($Q288),IF(AND($Q288&gt;=Statement!$C$6,$Q288&lt;=Statement!$C$7),$U288,0),0))</f>
        <v/>
      </c>
      <c r="W288" s="23">
        <f>IF($F288=Statement!$C$3,$G288,0)+IF($H288=Statement!$C$3,IF($I288="",0,$I288),0)</f>
        <v/>
      </c>
      <c r="X288">
        <f>IF(NOT($S288),"",IF(ISNUMBER($Q288),IF(AND($Q288&gt;=Statement!$C$6,$Q288&lt;=Statement!$C$7),"Clawback: credit reversed",""),"")&amp;IF(AND($B288&gt;=Statement!$C$6,$B288&lt;=Statement!$C$7,N($L288)&lt;1),"Partial credit: "&amp;TEXT($L288,"0%"),""))</f>
        <v/>
      </c>
    </row>
    <row r="289">
      <c r="A289" s="19" t="n"/>
      <c r="B289" s="20" t="n"/>
      <c r="C289" s="19" t="n"/>
      <c r="D289" s="19" t="n"/>
      <c r="E289" s="21" t="n"/>
      <c r="F289" s="19" t="n"/>
      <c r="G289" s="22" t="n"/>
      <c r="H289" s="19" t="n"/>
      <c r="I289" s="22" t="n"/>
      <c r="J289" s="20" t="n"/>
      <c r="K289" s="19" t="n"/>
      <c r="L289" s="23">
        <f>IF($E289="","",IFERROR(VLOOKUP($D289,'Plan setup'!$A$17:$B$21,2,FALSE),0))</f>
        <v/>
      </c>
      <c r="M289" s="17">
        <f>IF($E289="","",$E289*$L289)</f>
        <v/>
      </c>
      <c r="N289" s="17">
        <f>IF(OR($E289="",$F289=""),0,$M289*$G289)</f>
        <v/>
      </c>
      <c r="O289" s="17">
        <f>IF(OR($E289="",$H289=""),0,$M289*$I289)</f>
        <v/>
      </c>
      <c r="P289">
        <f>IF($J289="","",IF($J289-$B289&lt;='Plan setup'!$B$5,"Reversed","Outside window"))</f>
        <v/>
      </c>
      <c r="Q289" s="24">
        <f>IF($P289="Reversed",$J289,"")</f>
        <v/>
      </c>
      <c r="R289">
        <f>IF($E289="","",IF(ABS($G289+IF($I289="",0,$I289)-1)&gt;0.0001,"Splits must total 100%",IF(COUNTIF('Plan setup'!$A$25:$A$34,$F289)=0,"Rep 1 not in Plan setup",IF(IF($H289="",FALSE,COUNTIF('Plan setup'!$A$25:$A$34,$H289)=0),"Rep 2 not in Plan setup",IF(COUNTIF('Plan setup'!$A$17:$A$21,$D289)=0,"Unknown deal type",IF($P289="Outside window","Clawback outside window: not reversed","OK"))))))</f>
        <v/>
      </c>
      <c r="S289">
        <f>AND(ISNUMBER($B289),OR($F289=Statement!$C$3,$H289=Statement!$C$3),OR(AND($B289&gt;=Statement!$C$6,$B289&lt;=Statement!$C$7),AND(ISNUMBER($Q289),$Q289&gt;=Statement!$C$6,$Q289&lt;=Statement!$C$7)))</f>
        <v/>
      </c>
      <c r="T289">
        <f>IF($S289,COUNTIF($S$2:$S289,TRUE),"")</f>
        <v/>
      </c>
      <c r="U289" s="17">
        <f>IF($F289=Statement!$C$3,$N289,0)+IF($H289=Statement!$C$3,$O289,0)</f>
        <v/>
      </c>
      <c r="V289" s="17">
        <f>IF(NOT($S289),0,IF(AND($B289&gt;=Statement!$C$6,$B289&lt;=Statement!$C$7),$U289,0)-IF(ISNUMBER($Q289),IF(AND($Q289&gt;=Statement!$C$6,$Q289&lt;=Statement!$C$7),$U289,0),0))</f>
        <v/>
      </c>
      <c r="W289" s="23">
        <f>IF($F289=Statement!$C$3,$G289,0)+IF($H289=Statement!$C$3,IF($I289="",0,$I289),0)</f>
        <v/>
      </c>
      <c r="X289">
        <f>IF(NOT($S289),"",IF(ISNUMBER($Q289),IF(AND($Q289&gt;=Statement!$C$6,$Q289&lt;=Statement!$C$7),"Clawback: credit reversed",""),"")&amp;IF(AND($B289&gt;=Statement!$C$6,$B289&lt;=Statement!$C$7,N($L289)&lt;1),"Partial credit: "&amp;TEXT($L289,"0%"),""))</f>
        <v/>
      </c>
    </row>
    <row r="290">
      <c r="A290" s="19" t="n"/>
      <c r="B290" s="20" t="n"/>
      <c r="C290" s="19" t="n"/>
      <c r="D290" s="19" t="n"/>
      <c r="E290" s="21" t="n"/>
      <c r="F290" s="19" t="n"/>
      <c r="G290" s="22" t="n"/>
      <c r="H290" s="19" t="n"/>
      <c r="I290" s="22" t="n"/>
      <c r="J290" s="20" t="n"/>
      <c r="K290" s="19" t="n"/>
      <c r="L290" s="23">
        <f>IF($E290="","",IFERROR(VLOOKUP($D290,'Plan setup'!$A$17:$B$21,2,FALSE),0))</f>
        <v/>
      </c>
      <c r="M290" s="17">
        <f>IF($E290="","",$E290*$L290)</f>
        <v/>
      </c>
      <c r="N290" s="17">
        <f>IF(OR($E290="",$F290=""),0,$M290*$G290)</f>
        <v/>
      </c>
      <c r="O290" s="17">
        <f>IF(OR($E290="",$H290=""),0,$M290*$I290)</f>
        <v/>
      </c>
      <c r="P290">
        <f>IF($J290="","",IF($J290-$B290&lt;='Plan setup'!$B$5,"Reversed","Outside window"))</f>
        <v/>
      </c>
      <c r="Q290" s="24">
        <f>IF($P290="Reversed",$J290,"")</f>
        <v/>
      </c>
      <c r="R290">
        <f>IF($E290="","",IF(ABS($G290+IF($I290="",0,$I290)-1)&gt;0.0001,"Splits must total 100%",IF(COUNTIF('Plan setup'!$A$25:$A$34,$F290)=0,"Rep 1 not in Plan setup",IF(IF($H290="",FALSE,COUNTIF('Plan setup'!$A$25:$A$34,$H290)=0),"Rep 2 not in Plan setup",IF(COUNTIF('Plan setup'!$A$17:$A$21,$D290)=0,"Unknown deal type",IF($P290="Outside window","Clawback outside window: not reversed","OK"))))))</f>
        <v/>
      </c>
      <c r="S290">
        <f>AND(ISNUMBER($B290),OR($F290=Statement!$C$3,$H290=Statement!$C$3),OR(AND($B290&gt;=Statement!$C$6,$B290&lt;=Statement!$C$7),AND(ISNUMBER($Q290),$Q290&gt;=Statement!$C$6,$Q290&lt;=Statement!$C$7)))</f>
        <v/>
      </c>
      <c r="T290">
        <f>IF($S290,COUNTIF($S$2:$S290,TRUE),"")</f>
        <v/>
      </c>
      <c r="U290" s="17">
        <f>IF($F290=Statement!$C$3,$N290,0)+IF($H290=Statement!$C$3,$O290,0)</f>
        <v/>
      </c>
      <c r="V290" s="17">
        <f>IF(NOT($S290),0,IF(AND($B290&gt;=Statement!$C$6,$B290&lt;=Statement!$C$7),$U290,0)-IF(ISNUMBER($Q290),IF(AND($Q290&gt;=Statement!$C$6,$Q290&lt;=Statement!$C$7),$U290,0),0))</f>
        <v/>
      </c>
      <c r="W290" s="23">
        <f>IF($F290=Statement!$C$3,$G290,0)+IF($H290=Statement!$C$3,IF($I290="",0,$I290),0)</f>
        <v/>
      </c>
      <c r="X290">
        <f>IF(NOT($S290),"",IF(ISNUMBER($Q290),IF(AND($Q290&gt;=Statement!$C$6,$Q290&lt;=Statement!$C$7),"Clawback: credit reversed",""),"")&amp;IF(AND($B290&gt;=Statement!$C$6,$B290&lt;=Statement!$C$7,N($L290)&lt;1),"Partial credit: "&amp;TEXT($L290,"0%"),""))</f>
        <v/>
      </c>
    </row>
    <row r="291">
      <c r="A291" s="19" t="n"/>
      <c r="B291" s="20" t="n"/>
      <c r="C291" s="19" t="n"/>
      <c r="D291" s="19" t="n"/>
      <c r="E291" s="21" t="n"/>
      <c r="F291" s="19" t="n"/>
      <c r="G291" s="22" t="n"/>
      <c r="H291" s="19" t="n"/>
      <c r="I291" s="22" t="n"/>
      <c r="J291" s="20" t="n"/>
      <c r="K291" s="19" t="n"/>
      <c r="L291" s="23">
        <f>IF($E291="","",IFERROR(VLOOKUP($D291,'Plan setup'!$A$17:$B$21,2,FALSE),0))</f>
        <v/>
      </c>
      <c r="M291" s="17">
        <f>IF($E291="","",$E291*$L291)</f>
        <v/>
      </c>
      <c r="N291" s="17">
        <f>IF(OR($E291="",$F291=""),0,$M291*$G291)</f>
        <v/>
      </c>
      <c r="O291" s="17">
        <f>IF(OR($E291="",$H291=""),0,$M291*$I291)</f>
        <v/>
      </c>
      <c r="P291">
        <f>IF($J291="","",IF($J291-$B291&lt;='Plan setup'!$B$5,"Reversed","Outside window"))</f>
        <v/>
      </c>
      <c r="Q291" s="24">
        <f>IF($P291="Reversed",$J291,"")</f>
        <v/>
      </c>
      <c r="R291">
        <f>IF($E291="","",IF(ABS($G291+IF($I291="",0,$I291)-1)&gt;0.0001,"Splits must total 100%",IF(COUNTIF('Plan setup'!$A$25:$A$34,$F291)=0,"Rep 1 not in Plan setup",IF(IF($H291="",FALSE,COUNTIF('Plan setup'!$A$25:$A$34,$H291)=0),"Rep 2 not in Plan setup",IF(COUNTIF('Plan setup'!$A$17:$A$21,$D291)=0,"Unknown deal type",IF($P291="Outside window","Clawback outside window: not reversed","OK"))))))</f>
        <v/>
      </c>
      <c r="S291">
        <f>AND(ISNUMBER($B291),OR($F291=Statement!$C$3,$H291=Statement!$C$3),OR(AND($B291&gt;=Statement!$C$6,$B291&lt;=Statement!$C$7),AND(ISNUMBER($Q291),$Q291&gt;=Statement!$C$6,$Q291&lt;=Statement!$C$7)))</f>
        <v/>
      </c>
      <c r="T291">
        <f>IF($S291,COUNTIF($S$2:$S291,TRUE),"")</f>
        <v/>
      </c>
      <c r="U291" s="17">
        <f>IF($F291=Statement!$C$3,$N291,0)+IF($H291=Statement!$C$3,$O291,0)</f>
        <v/>
      </c>
      <c r="V291" s="17">
        <f>IF(NOT($S291),0,IF(AND($B291&gt;=Statement!$C$6,$B291&lt;=Statement!$C$7),$U291,0)-IF(ISNUMBER($Q291),IF(AND($Q291&gt;=Statement!$C$6,$Q291&lt;=Statement!$C$7),$U291,0),0))</f>
        <v/>
      </c>
      <c r="W291" s="23">
        <f>IF($F291=Statement!$C$3,$G291,0)+IF($H291=Statement!$C$3,IF($I291="",0,$I291),0)</f>
        <v/>
      </c>
      <c r="X291">
        <f>IF(NOT($S291),"",IF(ISNUMBER($Q291),IF(AND($Q291&gt;=Statement!$C$6,$Q291&lt;=Statement!$C$7),"Clawback: credit reversed",""),"")&amp;IF(AND($B291&gt;=Statement!$C$6,$B291&lt;=Statement!$C$7,N($L291)&lt;1),"Partial credit: "&amp;TEXT($L291,"0%"),""))</f>
        <v/>
      </c>
    </row>
    <row r="292">
      <c r="A292" s="19" t="n"/>
      <c r="B292" s="20" t="n"/>
      <c r="C292" s="19" t="n"/>
      <c r="D292" s="19" t="n"/>
      <c r="E292" s="21" t="n"/>
      <c r="F292" s="19" t="n"/>
      <c r="G292" s="22" t="n"/>
      <c r="H292" s="19" t="n"/>
      <c r="I292" s="22" t="n"/>
      <c r="J292" s="20" t="n"/>
      <c r="K292" s="19" t="n"/>
      <c r="L292" s="23">
        <f>IF($E292="","",IFERROR(VLOOKUP($D292,'Plan setup'!$A$17:$B$21,2,FALSE),0))</f>
        <v/>
      </c>
      <c r="M292" s="17">
        <f>IF($E292="","",$E292*$L292)</f>
        <v/>
      </c>
      <c r="N292" s="17">
        <f>IF(OR($E292="",$F292=""),0,$M292*$G292)</f>
        <v/>
      </c>
      <c r="O292" s="17">
        <f>IF(OR($E292="",$H292=""),0,$M292*$I292)</f>
        <v/>
      </c>
      <c r="P292">
        <f>IF($J292="","",IF($J292-$B292&lt;='Plan setup'!$B$5,"Reversed","Outside window"))</f>
        <v/>
      </c>
      <c r="Q292" s="24">
        <f>IF($P292="Reversed",$J292,"")</f>
        <v/>
      </c>
      <c r="R292">
        <f>IF($E292="","",IF(ABS($G292+IF($I292="",0,$I292)-1)&gt;0.0001,"Splits must total 100%",IF(COUNTIF('Plan setup'!$A$25:$A$34,$F292)=0,"Rep 1 not in Plan setup",IF(IF($H292="",FALSE,COUNTIF('Plan setup'!$A$25:$A$34,$H292)=0),"Rep 2 not in Plan setup",IF(COUNTIF('Plan setup'!$A$17:$A$21,$D292)=0,"Unknown deal type",IF($P292="Outside window","Clawback outside window: not reversed","OK"))))))</f>
        <v/>
      </c>
      <c r="S292">
        <f>AND(ISNUMBER($B292),OR($F292=Statement!$C$3,$H292=Statement!$C$3),OR(AND($B292&gt;=Statement!$C$6,$B292&lt;=Statement!$C$7),AND(ISNUMBER($Q292),$Q292&gt;=Statement!$C$6,$Q292&lt;=Statement!$C$7)))</f>
        <v/>
      </c>
      <c r="T292">
        <f>IF($S292,COUNTIF($S$2:$S292,TRUE),"")</f>
        <v/>
      </c>
      <c r="U292" s="17">
        <f>IF($F292=Statement!$C$3,$N292,0)+IF($H292=Statement!$C$3,$O292,0)</f>
        <v/>
      </c>
      <c r="V292" s="17">
        <f>IF(NOT($S292),0,IF(AND($B292&gt;=Statement!$C$6,$B292&lt;=Statement!$C$7),$U292,0)-IF(ISNUMBER($Q292),IF(AND($Q292&gt;=Statement!$C$6,$Q292&lt;=Statement!$C$7),$U292,0),0))</f>
        <v/>
      </c>
      <c r="W292" s="23">
        <f>IF($F292=Statement!$C$3,$G292,0)+IF($H292=Statement!$C$3,IF($I292="",0,$I292),0)</f>
        <v/>
      </c>
      <c r="X292">
        <f>IF(NOT($S292),"",IF(ISNUMBER($Q292),IF(AND($Q292&gt;=Statement!$C$6,$Q292&lt;=Statement!$C$7),"Clawback: credit reversed",""),"")&amp;IF(AND($B292&gt;=Statement!$C$6,$B292&lt;=Statement!$C$7,N($L292)&lt;1),"Partial credit: "&amp;TEXT($L292,"0%"),""))</f>
        <v/>
      </c>
    </row>
    <row r="293">
      <c r="A293" s="19" t="n"/>
      <c r="B293" s="20" t="n"/>
      <c r="C293" s="19" t="n"/>
      <c r="D293" s="19" t="n"/>
      <c r="E293" s="21" t="n"/>
      <c r="F293" s="19" t="n"/>
      <c r="G293" s="22" t="n"/>
      <c r="H293" s="19" t="n"/>
      <c r="I293" s="22" t="n"/>
      <c r="J293" s="20" t="n"/>
      <c r="K293" s="19" t="n"/>
      <c r="L293" s="23">
        <f>IF($E293="","",IFERROR(VLOOKUP($D293,'Plan setup'!$A$17:$B$21,2,FALSE),0))</f>
        <v/>
      </c>
      <c r="M293" s="17">
        <f>IF($E293="","",$E293*$L293)</f>
        <v/>
      </c>
      <c r="N293" s="17">
        <f>IF(OR($E293="",$F293=""),0,$M293*$G293)</f>
        <v/>
      </c>
      <c r="O293" s="17">
        <f>IF(OR($E293="",$H293=""),0,$M293*$I293)</f>
        <v/>
      </c>
      <c r="P293">
        <f>IF($J293="","",IF($J293-$B293&lt;='Plan setup'!$B$5,"Reversed","Outside window"))</f>
        <v/>
      </c>
      <c r="Q293" s="24">
        <f>IF($P293="Reversed",$J293,"")</f>
        <v/>
      </c>
      <c r="R293">
        <f>IF($E293="","",IF(ABS($G293+IF($I293="",0,$I293)-1)&gt;0.0001,"Splits must total 100%",IF(COUNTIF('Plan setup'!$A$25:$A$34,$F293)=0,"Rep 1 not in Plan setup",IF(IF($H293="",FALSE,COUNTIF('Plan setup'!$A$25:$A$34,$H293)=0),"Rep 2 not in Plan setup",IF(COUNTIF('Plan setup'!$A$17:$A$21,$D293)=0,"Unknown deal type",IF($P293="Outside window","Clawback outside window: not reversed","OK"))))))</f>
        <v/>
      </c>
      <c r="S293">
        <f>AND(ISNUMBER($B293),OR($F293=Statement!$C$3,$H293=Statement!$C$3),OR(AND($B293&gt;=Statement!$C$6,$B293&lt;=Statement!$C$7),AND(ISNUMBER($Q293),$Q293&gt;=Statement!$C$6,$Q293&lt;=Statement!$C$7)))</f>
        <v/>
      </c>
      <c r="T293">
        <f>IF($S293,COUNTIF($S$2:$S293,TRUE),"")</f>
        <v/>
      </c>
      <c r="U293" s="17">
        <f>IF($F293=Statement!$C$3,$N293,0)+IF($H293=Statement!$C$3,$O293,0)</f>
        <v/>
      </c>
      <c r="V293" s="17">
        <f>IF(NOT($S293),0,IF(AND($B293&gt;=Statement!$C$6,$B293&lt;=Statement!$C$7),$U293,0)-IF(ISNUMBER($Q293),IF(AND($Q293&gt;=Statement!$C$6,$Q293&lt;=Statement!$C$7),$U293,0),0))</f>
        <v/>
      </c>
      <c r="W293" s="23">
        <f>IF($F293=Statement!$C$3,$G293,0)+IF($H293=Statement!$C$3,IF($I293="",0,$I293),0)</f>
        <v/>
      </c>
      <c r="X293">
        <f>IF(NOT($S293),"",IF(ISNUMBER($Q293),IF(AND($Q293&gt;=Statement!$C$6,$Q293&lt;=Statement!$C$7),"Clawback: credit reversed",""),"")&amp;IF(AND($B293&gt;=Statement!$C$6,$B293&lt;=Statement!$C$7,N($L293)&lt;1),"Partial credit: "&amp;TEXT($L293,"0%"),""))</f>
        <v/>
      </c>
    </row>
    <row r="294">
      <c r="A294" s="19" t="n"/>
      <c r="B294" s="20" t="n"/>
      <c r="C294" s="19" t="n"/>
      <c r="D294" s="19" t="n"/>
      <c r="E294" s="21" t="n"/>
      <c r="F294" s="19" t="n"/>
      <c r="G294" s="22" t="n"/>
      <c r="H294" s="19" t="n"/>
      <c r="I294" s="22" t="n"/>
      <c r="J294" s="20" t="n"/>
      <c r="K294" s="19" t="n"/>
      <c r="L294" s="23">
        <f>IF($E294="","",IFERROR(VLOOKUP($D294,'Plan setup'!$A$17:$B$21,2,FALSE),0))</f>
        <v/>
      </c>
      <c r="M294" s="17">
        <f>IF($E294="","",$E294*$L294)</f>
        <v/>
      </c>
      <c r="N294" s="17">
        <f>IF(OR($E294="",$F294=""),0,$M294*$G294)</f>
        <v/>
      </c>
      <c r="O294" s="17">
        <f>IF(OR($E294="",$H294=""),0,$M294*$I294)</f>
        <v/>
      </c>
      <c r="P294">
        <f>IF($J294="","",IF($J294-$B294&lt;='Plan setup'!$B$5,"Reversed","Outside window"))</f>
        <v/>
      </c>
      <c r="Q294" s="24">
        <f>IF($P294="Reversed",$J294,"")</f>
        <v/>
      </c>
      <c r="R294">
        <f>IF($E294="","",IF(ABS($G294+IF($I294="",0,$I294)-1)&gt;0.0001,"Splits must total 100%",IF(COUNTIF('Plan setup'!$A$25:$A$34,$F294)=0,"Rep 1 not in Plan setup",IF(IF($H294="",FALSE,COUNTIF('Plan setup'!$A$25:$A$34,$H294)=0),"Rep 2 not in Plan setup",IF(COUNTIF('Plan setup'!$A$17:$A$21,$D294)=0,"Unknown deal type",IF($P294="Outside window","Clawback outside window: not reversed","OK"))))))</f>
        <v/>
      </c>
      <c r="S294">
        <f>AND(ISNUMBER($B294),OR($F294=Statement!$C$3,$H294=Statement!$C$3),OR(AND($B294&gt;=Statement!$C$6,$B294&lt;=Statement!$C$7),AND(ISNUMBER($Q294),$Q294&gt;=Statement!$C$6,$Q294&lt;=Statement!$C$7)))</f>
        <v/>
      </c>
      <c r="T294">
        <f>IF($S294,COUNTIF($S$2:$S294,TRUE),"")</f>
        <v/>
      </c>
      <c r="U294" s="17">
        <f>IF($F294=Statement!$C$3,$N294,0)+IF($H294=Statement!$C$3,$O294,0)</f>
        <v/>
      </c>
      <c r="V294" s="17">
        <f>IF(NOT($S294),0,IF(AND($B294&gt;=Statement!$C$6,$B294&lt;=Statement!$C$7),$U294,0)-IF(ISNUMBER($Q294),IF(AND($Q294&gt;=Statement!$C$6,$Q294&lt;=Statement!$C$7),$U294,0),0))</f>
        <v/>
      </c>
      <c r="W294" s="23">
        <f>IF($F294=Statement!$C$3,$G294,0)+IF($H294=Statement!$C$3,IF($I294="",0,$I294),0)</f>
        <v/>
      </c>
      <c r="X294">
        <f>IF(NOT($S294),"",IF(ISNUMBER($Q294),IF(AND($Q294&gt;=Statement!$C$6,$Q294&lt;=Statement!$C$7),"Clawback: credit reversed",""),"")&amp;IF(AND($B294&gt;=Statement!$C$6,$B294&lt;=Statement!$C$7,N($L294)&lt;1),"Partial credit: "&amp;TEXT($L294,"0%"),""))</f>
        <v/>
      </c>
    </row>
    <row r="295">
      <c r="A295" s="19" t="n"/>
      <c r="B295" s="20" t="n"/>
      <c r="C295" s="19" t="n"/>
      <c r="D295" s="19" t="n"/>
      <c r="E295" s="21" t="n"/>
      <c r="F295" s="19" t="n"/>
      <c r="G295" s="22" t="n"/>
      <c r="H295" s="19" t="n"/>
      <c r="I295" s="22" t="n"/>
      <c r="J295" s="20" t="n"/>
      <c r="K295" s="19" t="n"/>
      <c r="L295" s="23">
        <f>IF($E295="","",IFERROR(VLOOKUP($D295,'Plan setup'!$A$17:$B$21,2,FALSE),0))</f>
        <v/>
      </c>
      <c r="M295" s="17">
        <f>IF($E295="","",$E295*$L295)</f>
        <v/>
      </c>
      <c r="N295" s="17">
        <f>IF(OR($E295="",$F295=""),0,$M295*$G295)</f>
        <v/>
      </c>
      <c r="O295" s="17">
        <f>IF(OR($E295="",$H295=""),0,$M295*$I295)</f>
        <v/>
      </c>
      <c r="P295">
        <f>IF($J295="","",IF($J295-$B295&lt;='Plan setup'!$B$5,"Reversed","Outside window"))</f>
        <v/>
      </c>
      <c r="Q295" s="24">
        <f>IF($P295="Reversed",$J295,"")</f>
        <v/>
      </c>
      <c r="R295">
        <f>IF($E295="","",IF(ABS($G295+IF($I295="",0,$I295)-1)&gt;0.0001,"Splits must total 100%",IF(COUNTIF('Plan setup'!$A$25:$A$34,$F295)=0,"Rep 1 not in Plan setup",IF(IF($H295="",FALSE,COUNTIF('Plan setup'!$A$25:$A$34,$H295)=0),"Rep 2 not in Plan setup",IF(COUNTIF('Plan setup'!$A$17:$A$21,$D295)=0,"Unknown deal type",IF($P295="Outside window","Clawback outside window: not reversed","OK"))))))</f>
        <v/>
      </c>
      <c r="S295">
        <f>AND(ISNUMBER($B295),OR($F295=Statement!$C$3,$H295=Statement!$C$3),OR(AND($B295&gt;=Statement!$C$6,$B295&lt;=Statement!$C$7),AND(ISNUMBER($Q295),$Q295&gt;=Statement!$C$6,$Q295&lt;=Statement!$C$7)))</f>
        <v/>
      </c>
      <c r="T295">
        <f>IF($S295,COUNTIF($S$2:$S295,TRUE),"")</f>
        <v/>
      </c>
      <c r="U295" s="17">
        <f>IF($F295=Statement!$C$3,$N295,0)+IF($H295=Statement!$C$3,$O295,0)</f>
        <v/>
      </c>
      <c r="V295" s="17">
        <f>IF(NOT($S295),0,IF(AND($B295&gt;=Statement!$C$6,$B295&lt;=Statement!$C$7),$U295,0)-IF(ISNUMBER($Q295),IF(AND($Q295&gt;=Statement!$C$6,$Q295&lt;=Statement!$C$7),$U295,0),0))</f>
        <v/>
      </c>
      <c r="W295" s="23">
        <f>IF($F295=Statement!$C$3,$G295,0)+IF($H295=Statement!$C$3,IF($I295="",0,$I295),0)</f>
        <v/>
      </c>
      <c r="X295">
        <f>IF(NOT($S295),"",IF(ISNUMBER($Q295),IF(AND($Q295&gt;=Statement!$C$6,$Q295&lt;=Statement!$C$7),"Clawback: credit reversed",""),"")&amp;IF(AND($B295&gt;=Statement!$C$6,$B295&lt;=Statement!$C$7,N($L295)&lt;1),"Partial credit: "&amp;TEXT($L295,"0%"),""))</f>
        <v/>
      </c>
    </row>
    <row r="296">
      <c r="A296" s="19" t="n"/>
      <c r="B296" s="20" t="n"/>
      <c r="C296" s="19" t="n"/>
      <c r="D296" s="19" t="n"/>
      <c r="E296" s="21" t="n"/>
      <c r="F296" s="19" t="n"/>
      <c r="G296" s="22" t="n"/>
      <c r="H296" s="19" t="n"/>
      <c r="I296" s="22" t="n"/>
      <c r="J296" s="20" t="n"/>
      <c r="K296" s="19" t="n"/>
      <c r="L296" s="23">
        <f>IF($E296="","",IFERROR(VLOOKUP($D296,'Plan setup'!$A$17:$B$21,2,FALSE),0))</f>
        <v/>
      </c>
      <c r="M296" s="17">
        <f>IF($E296="","",$E296*$L296)</f>
        <v/>
      </c>
      <c r="N296" s="17">
        <f>IF(OR($E296="",$F296=""),0,$M296*$G296)</f>
        <v/>
      </c>
      <c r="O296" s="17">
        <f>IF(OR($E296="",$H296=""),0,$M296*$I296)</f>
        <v/>
      </c>
      <c r="P296">
        <f>IF($J296="","",IF($J296-$B296&lt;='Plan setup'!$B$5,"Reversed","Outside window"))</f>
        <v/>
      </c>
      <c r="Q296" s="24">
        <f>IF($P296="Reversed",$J296,"")</f>
        <v/>
      </c>
      <c r="R296">
        <f>IF($E296="","",IF(ABS($G296+IF($I296="",0,$I296)-1)&gt;0.0001,"Splits must total 100%",IF(COUNTIF('Plan setup'!$A$25:$A$34,$F296)=0,"Rep 1 not in Plan setup",IF(IF($H296="",FALSE,COUNTIF('Plan setup'!$A$25:$A$34,$H296)=0),"Rep 2 not in Plan setup",IF(COUNTIF('Plan setup'!$A$17:$A$21,$D296)=0,"Unknown deal type",IF($P296="Outside window","Clawback outside window: not reversed","OK"))))))</f>
        <v/>
      </c>
      <c r="S296">
        <f>AND(ISNUMBER($B296),OR($F296=Statement!$C$3,$H296=Statement!$C$3),OR(AND($B296&gt;=Statement!$C$6,$B296&lt;=Statement!$C$7),AND(ISNUMBER($Q296),$Q296&gt;=Statement!$C$6,$Q296&lt;=Statement!$C$7)))</f>
        <v/>
      </c>
      <c r="T296">
        <f>IF($S296,COUNTIF($S$2:$S296,TRUE),"")</f>
        <v/>
      </c>
      <c r="U296" s="17">
        <f>IF($F296=Statement!$C$3,$N296,0)+IF($H296=Statement!$C$3,$O296,0)</f>
        <v/>
      </c>
      <c r="V296" s="17">
        <f>IF(NOT($S296),0,IF(AND($B296&gt;=Statement!$C$6,$B296&lt;=Statement!$C$7),$U296,0)-IF(ISNUMBER($Q296),IF(AND($Q296&gt;=Statement!$C$6,$Q296&lt;=Statement!$C$7),$U296,0),0))</f>
        <v/>
      </c>
      <c r="W296" s="23">
        <f>IF($F296=Statement!$C$3,$G296,0)+IF($H296=Statement!$C$3,IF($I296="",0,$I296),0)</f>
        <v/>
      </c>
      <c r="X296">
        <f>IF(NOT($S296),"",IF(ISNUMBER($Q296),IF(AND($Q296&gt;=Statement!$C$6,$Q296&lt;=Statement!$C$7),"Clawback: credit reversed",""),"")&amp;IF(AND($B296&gt;=Statement!$C$6,$B296&lt;=Statement!$C$7,N($L296)&lt;1),"Partial credit: "&amp;TEXT($L296,"0%"),""))</f>
        <v/>
      </c>
    </row>
    <row r="297">
      <c r="A297" s="19" t="n"/>
      <c r="B297" s="20" t="n"/>
      <c r="C297" s="19" t="n"/>
      <c r="D297" s="19" t="n"/>
      <c r="E297" s="21" t="n"/>
      <c r="F297" s="19" t="n"/>
      <c r="G297" s="22" t="n"/>
      <c r="H297" s="19" t="n"/>
      <c r="I297" s="22" t="n"/>
      <c r="J297" s="20" t="n"/>
      <c r="K297" s="19" t="n"/>
      <c r="L297" s="23">
        <f>IF($E297="","",IFERROR(VLOOKUP($D297,'Plan setup'!$A$17:$B$21,2,FALSE),0))</f>
        <v/>
      </c>
      <c r="M297" s="17">
        <f>IF($E297="","",$E297*$L297)</f>
        <v/>
      </c>
      <c r="N297" s="17">
        <f>IF(OR($E297="",$F297=""),0,$M297*$G297)</f>
        <v/>
      </c>
      <c r="O297" s="17">
        <f>IF(OR($E297="",$H297=""),0,$M297*$I297)</f>
        <v/>
      </c>
      <c r="P297">
        <f>IF($J297="","",IF($J297-$B297&lt;='Plan setup'!$B$5,"Reversed","Outside window"))</f>
        <v/>
      </c>
      <c r="Q297" s="24">
        <f>IF($P297="Reversed",$J297,"")</f>
        <v/>
      </c>
      <c r="R297">
        <f>IF($E297="","",IF(ABS($G297+IF($I297="",0,$I297)-1)&gt;0.0001,"Splits must total 100%",IF(COUNTIF('Plan setup'!$A$25:$A$34,$F297)=0,"Rep 1 not in Plan setup",IF(IF($H297="",FALSE,COUNTIF('Plan setup'!$A$25:$A$34,$H297)=0),"Rep 2 not in Plan setup",IF(COUNTIF('Plan setup'!$A$17:$A$21,$D297)=0,"Unknown deal type",IF($P297="Outside window","Clawback outside window: not reversed","OK"))))))</f>
        <v/>
      </c>
      <c r="S297">
        <f>AND(ISNUMBER($B297),OR($F297=Statement!$C$3,$H297=Statement!$C$3),OR(AND($B297&gt;=Statement!$C$6,$B297&lt;=Statement!$C$7),AND(ISNUMBER($Q297),$Q297&gt;=Statement!$C$6,$Q297&lt;=Statement!$C$7)))</f>
        <v/>
      </c>
      <c r="T297">
        <f>IF($S297,COUNTIF($S$2:$S297,TRUE),"")</f>
        <v/>
      </c>
      <c r="U297" s="17">
        <f>IF($F297=Statement!$C$3,$N297,0)+IF($H297=Statement!$C$3,$O297,0)</f>
        <v/>
      </c>
      <c r="V297" s="17">
        <f>IF(NOT($S297),0,IF(AND($B297&gt;=Statement!$C$6,$B297&lt;=Statement!$C$7),$U297,0)-IF(ISNUMBER($Q297),IF(AND($Q297&gt;=Statement!$C$6,$Q297&lt;=Statement!$C$7),$U297,0),0))</f>
        <v/>
      </c>
      <c r="W297" s="23">
        <f>IF($F297=Statement!$C$3,$G297,0)+IF($H297=Statement!$C$3,IF($I297="",0,$I297),0)</f>
        <v/>
      </c>
      <c r="X297">
        <f>IF(NOT($S297),"",IF(ISNUMBER($Q297),IF(AND($Q297&gt;=Statement!$C$6,$Q297&lt;=Statement!$C$7),"Clawback: credit reversed",""),"")&amp;IF(AND($B297&gt;=Statement!$C$6,$B297&lt;=Statement!$C$7,N($L297)&lt;1),"Partial credit: "&amp;TEXT($L297,"0%"),""))</f>
        <v/>
      </c>
    </row>
    <row r="298">
      <c r="A298" s="19" t="n"/>
      <c r="B298" s="20" t="n"/>
      <c r="C298" s="19" t="n"/>
      <c r="D298" s="19" t="n"/>
      <c r="E298" s="21" t="n"/>
      <c r="F298" s="19" t="n"/>
      <c r="G298" s="22" t="n"/>
      <c r="H298" s="19" t="n"/>
      <c r="I298" s="22" t="n"/>
      <c r="J298" s="20" t="n"/>
      <c r="K298" s="19" t="n"/>
      <c r="L298" s="23">
        <f>IF($E298="","",IFERROR(VLOOKUP($D298,'Plan setup'!$A$17:$B$21,2,FALSE),0))</f>
        <v/>
      </c>
      <c r="M298" s="17">
        <f>IF($E298="","",$E298*$L298)</f>
        <v/>
      </c>
      <c r="N298" s="17">
        <f>IF(OR($E298="",$F298=""),0,$M298*$G298)</f>
        <v/>
      </c>
      <c r="O298" s="17">
        <f>IF(OR($E298="",$H298=""),0,$M298*$I298)</f>
        <v/>
      </c>
      <c r="P298">
        <f>IF($J298="","",IF($J298-$B298&lt;='Plan setup'!$B$5,"Reversed","Outside window"))</f>
        <v/>
      </c>
      <c r="Q298" s="24">
        <f>IF($P298="Reversed",$J298,"")</f>
        <v/>
      </c>
      <c r="R298">
        <f>IF($E298="","",IF(ABS($G298+IF($I298="",0,$I298)-1)&gt;0.0001,"Splits must total 100%",IF(COUNTIF('Plan setup'!$A$25:$A$34,$F298)=0,"Rep 1 not in Plan setup",IF(IF($H298="",FALSE,COUNTIF('Plan setup'!$A$25:$A$34,$H298)=0),"Rep 2 not in Plan setup",IF(COUNTIF('Plan setup'!$A$17:$A$21,$D298)=0,"Unknown deal type",IF($P298="Outside window","Clawback outside window: not reversed","OK"))))))</f>
        <v/>
      </c>
      <c r="S298">
        <f>AND(ISNUMBER($B298),OR($F298=Statement!$C$3,$H298=Statement!$C$3),OR(AND($B298&gt;=Statement!$C$6,$B298&lt;=Statement!$C$7),AND(ISNUMBER($Q298),$Q298&gt;=Statement!$C$6,$Q298&lt;=Statement!$C$7)))</f>
        <v/>
      </c>
      <c r="T298">
        <f>IF($S298,COUNTIF($S$2:$S298,TRUE),"")</f>
        <v/>
      </c>
      <c r="U298" s="17">
        <f>IF($F298=Statement!$C$3,$N298,0)+IF($H298=Statement!$C$3,$O298,0)</f>
        <v/>
      </c>
      <c r="V298" s="17">
        <f>IF(NOT($S298),0,IF(AND($B298&gt;=Statement!$C$6,$B298&lt;=Statement!$C$7),$U298,0)-IF(ISNUMBER($Q298),IF(AND($Q298&gt;=Statement!$C$6,$Q298&lt;=Statement!$C$7),$U298,0),0))</f>
        <v/>
      </c>
      <c r="W298" s="23">
        <f>IF($F298=Statement!$C$3,$G298,0)+IF($H298=Statement!$C$3,IF($I298="",0,$I298),0)</f>
        <v/>
      </c>
      <c r="X298">
        <f>IF(NOT($S298),"",IF(ISNUMBER($Q298),IF(AND($Q298&gt;=Statement!$C$6,$Q298&lt;=Statement!$C$7),"Clawback: credit reversed",""),"")&amp;IF(AND($B298&gt;=Statement!$C$6,$B298&lt;=Statement!$C$7,N($L298)&lt;1),"Partial credit: "&amp;TEXT($L298,"0%"),""))</f>
        <v/>
      </c>
    </row>
    <row r="299">
      <c r="A299" s="19" t="n"/>
      <c r="B299" s="20" t="n"/>
      <c r="C299" s="19" t="n"/>
      <c r="D299" s="19" t="n"/>
      <c r="E299" s="21" t="n"/>
      <c r="F299" s="19" t="n"/>
      <c r="G299" s="22" t="n"/>
      <c r="H299" s="19" t="n"/>
      <c r="I299" s="22" t="n"/>
      <c r="J299" s="20" t="n"/>
      <c r="K299" s="19" t="n"/>
      <c r="L299" s="23">
        <f>IF($E299="","",IFERROR(VLOOKUP($D299,'Plan setup'!$A$17:$B$21,2,FALSE),0))</f>
        <v/>
      </c>
      <c r="M299" s="17">
        <f>IF($E299="","",$E299*$L299)</f>
        <v/>
      </c>
      <c r="N299" s="17">
        <f>IF(OR($E299="",$F299=""),0,$M299*$G299)</f>
        <v/>
      </c>
      <c r="O299" s="17">
        <f>IF(OR($E299="",$H299=""),0,$M299*$I299)</f>
        <v/>
      </c>
      <c r="P299">
        <f>IF($J299="","",IF($J299-$B299&lt;='Plan setup'!$B$5,"Reversed","Outside window"))</f>
        <v/>
      </c>
      <c r="Q299" s="24">
        <f>IF($P299="Reversed",$J299,"")</f>
        <v/>
      </c>
      <c r="R299">
        <f>IF($E299="","",IF(ABS($G299+IF($I299="",0,$I299)-1)&gt;0.0001,"Splits must total 100%",IF(COUNTIF('Plan setup'!$A$25:$A$34,$F299)=0,"Rep 1 not in Plan setup",IF(IF($H299="",FALSE,COUNTIF('Plan setup'!$A$25:$A$34,$H299)=0),"Rep 2 not in Plan setup",IF(COUNTIF('Plan setup'!$A$17:$A$21,$D299)=0,"Unknown deal type",IF($P299="Outside window","Clawback outside window: not reversed","OK"))))))</f>
        <v/>
      </c>
      <c r="S299">
        <f>AND(ISNUMBER($B299),OR($F299=Statement!$C$3,$H299=Statement!$C$3),OR(AND($B299&gt;=Statement!$C$6,$B299&lt;=Statement!$C$7),AND(ISNUMBER($Q299),$Q299&gt;=Statement!$C$6,$Q299&lt;=Statement!$C$7)))</f>
        <v/>
      </c>
      <c r="T299">
        <f>IF($S299,COUNTIF($S$2:$S299,TRUE),"")</f>
        <v/>
      </c>
      <c r="U299" s="17">
        <f>IF($F299=Statement!$C$3,$N299,0)+IF($H299=Statement!$C$3,$O299,0)</f>
        <v/>
      </c>
      <c r="V299" s="17">
        <f>IF(NOT($S299),0,IF(AND($B299&gt;=Statement!$C$6,$B299&lt;=Statement!$C$7),$U299,0)-IF(ISNUMBER($Q299),IF(AND($Q299&gt;=Statement!$C$6,$Q299&lt;=Statement!$C$7),$U299,0),0))</f>
        <v/>
      </c>
      <c r="W299" s="23">
        <f>IF($F299=Statement!$C$3,$G299,0)+IF($H299=Statement!$C$3,IF($I299="",0,$I299),0)</f>
        <v/>
      </c>
      <c r="X299">
        <f>IF(NOT($S299),"",IF(ISNUMBER($Q299),IF(AND($Q299&gt;=Statement!$C$6,$Q299&lt;=Statement!$C$7),"Clawback: credit reversed",""),"")&amp;IF(AND($B299&gt;=Statement!$C$6,$B299&lt;=Statement!$C$7,N($L299)&lt;1),"Partial credit: "&amp;TEXT($L299,"0%"),""))</f>
        <v/>
      </c>
    </row>
    <row r="300">
      <c r="A300" s="19" t="n"/>
      <c r="B300" s="20" t="n"/>
      <c r="C300" s="19" t="n"/>
      <c r="D300" s="19" t="n"/>
      <c r="E300" s="21" t="n"/>
      <c r="F300" s="19" t="n"/>
      <c r="G300" s="22" t="n"/>
      <c r="H300" s="19" t="n"/>
      <c r="I300" s="22" t="n"/>
      <c r="J300" s="20" t="n"/>
      <c r="K300" s="19" t="n"/>
      <c r="L300" s="23">
        <f>IF($E300="","",IFERROR(VLOOKUP($D300,'Plan setup'!$A$17:$B$21,2,FALSE),0))</f>
        <v/>
      </c>
      <c r="M300" s="17">
        <f>IF($E300="","",$E300*$L300)</f>
        <v/>
      </c>
      <c r="N300" s="17">
        <f>IF(OR($E300="",$F300=""),0,$M300*$G300)</f>
        <v/>
      </c>
      <c r="O300" s="17">
        <f>IF(OR($E300="",$H300=""),0,$M300*$I300)</f>
        <v/>
      </c>
      <c r="P300">
        <f>IF($J300="","",IF($J300-$B300&lt;='Plan setup'!$B$5,"Reversed","Outside window"))</f>
        <v/>
      </c>
      <c r="Q300" s="24">
        <f>IF($P300="Reversed",$J300,"")</f>
        <v/>
      </c>
      <c r="R300">
        <f>IF($E300="","",IF(ABS($G300+IF($I300="",0,$I300)-1)&gt;0.0001,"Splits must total 100%",IF(COUNTIF('Plan setup'!$A$25:$A$34,$F300)=0,"Rep 1 not in Plan setup",IF(IF($H300="",FALSE,COUNTIF('Plan setup'!$A$25:$A$34,$H300)=0),"Rep 2 not in Plan setup",IF(COUNTIF('Plan setup'!$A$17:$A$21,$D300)=0,"Unknown deal type",IF($P300="Outside window","Clawback outside window: not reversed","OK"))))))</f>
        <v/>
      </c>
      <c r="S300">
        <f>AND(ISNUMBER($B300),OR($F300=Statement!$C$3,$H300=Statement!$C$3),OR(AND($B300&gt;=Statement!$C$6,$B300&lt;=Statement!$C$7),AND(ISNUMBER($Q300),$Q300&gt;=Statement!$C$6,$Q300&lt;=Statement!$C$7)))</f>
        <v/>
      </c>
      <c r="T300">
        <f>IF($S300,COUNTIF($S$2:$S300,TRUE),"")</f>
        <v/>
      </c>
      <c r="U300" s="17">
        <f>IF($F300=Statement!$C$3,$N300,0)+IF($H300=Statement!$C$3,$O300,0)</f>
        <v/>
      </c>
      <c r="V300" s="17">
        <f>IF(NOT($S300),0,IF(AND($B300&gt;=Statement!$C$6,$B300&lt;=Statement!$C$7),$U300,0)-IF(ISNUMBER($Q300),IF(AND($Q300&gt;=Statement!$C$6,$Q300&lt;=Statement!$C$7),$U300,0),0))</f>
        <v/>
      </c>
      <c r="W300" s="23">
        <f>IF($F300=Statement!$C$3,$G300,0)+IF($H300=Statement!$C$3,IF($I300="",0,$I300),0)</f>
        <v/>
      </c>
      <c r="X300">
        <f>IF(NOT($S300),"",IF(ISNUMBER($Q300),IF(AND($Q300&gt;=Statement!$C$6,$Q300&lt;=Statement!$C$7),"Clawback: credit reversed",""),"")&amp;IF(AND($B300&gt;=Statement!$C$6,$B300&lt;=Statement!$C$7,N($L300)&lt;1),"Partial credit: "&amp;TEXT($L300,"0%"),""))</f>
        <v/>
      </c>
    </row>
    <row r="301">
      <c r="A301" s="19" t="n"/>
      <c r="B301" s="20" t="n"/>
      <c r="C301" s="19" t="n"/>
      <c r="D301" s="19" t="n"/>
      <c r="E301" s="21" t="n"/>
      <c r="F301" s="19" t="n"/>
      <c r="G301" s="22" t="n"/>
      <c r="H301" s="19" t="n"/>
      <c r="I301" s="22" t="n"/>
      <c r="J301" s="20" t="n"/>
      <c r="K301" s="19" t="n"/>
      <c r="L301" s="23">
        <f>IF($E301="","",IFERROR(VLOOKUP($D301,'Plan setup'!$A$17:$B$21,2,FALSE),0))</f>
        <v/>
      </c>
      <c r="M301" s="17">
        <f>IF($E301="","",$E301*$L301)</f>
        <v/>
      </c>
      <c r="N301" s="17">
        <f>IF(OR($E301="",$F301=""),0,$M301*$G301)</f>
        <v/>
      </c>
      <c r="O301" s="17">
        <f>IF(OR($E301="",$H301=""),0,$M301*$I301)</f>
        <v/>
      </c>
      <c r="P301">
        <f>IF($J301="","",IF($J301-$B301&lt;='Plan setup'!$B$5,"Reversed","Outside window"))</f>
        <v/>
      </c>
      <c r="Q301" s="24">
        <f>IF($P301="Reversed",$J301,"")</f>
        <v/>
      </c>
      <c r="R301">
        <f>IF($E301="","",IF(ABS($G301+IF($I301="",0,$I301)-1)&gt;0.0001,"Splits must total 100%",IF(COUNTIF('Plan setup'!$A$25:$A$34,$F301)=0,"Rep 1 not in Plan setup",IF(IF($H301="",FALSE,COUNTIF('Plan setup'!$A$25:$A$34,$H301)=0),"Rep 2 not in Plan setup",IF(COUNTIF('Plan setup'!$A$17:$A$21,$D301)=0,"Unknown deal type",IF($P301="Outside window","Clawback outside window: not reversed","OK"))))))</f>
        <v/>
      </c>
      <c r="S301">
        <f>AND(ISNUMBER($B301),OR($F301=Statement!$C$3,$H301=Statement!$C$3),OR(AND($B301&gt;=Statement!$C$6,$B301&lt;=Statement!$C$7),AND(ISNUMBER($Q301),$Q301&gt;=Statement!$C$6,$Q301&lt;=Statement!$C$7)))</f>
        <v/>
      </c>
      <c r="T301">
        <f>IF($S301,COUNTIF($S$2:$S301,TRUE),"")</f>
        <v/>
      </c>
      <c r="U301" s="17">
        <f>IF($F301=Statement!$C$3,$N301,0)+IF($H301=Statement!$C$3,$O301,0)</f>
        <v/>
      </c>
      <c r="V301" s="17">
        <f>IF(NOT($S301),0,IF(AND($B301&gt;=Statement!$C$6,$B301&lt;=Statement!$C$7),$U301,0)-IF(ISNUMBER($Q301),IF(AND($Q301&gt;=Statement!$C$6,$Q301&lt;=Statement!$C$7),$U301,0),0))</f>
        <v/>
      </c>
      <c r="W301" s="23">
        <f>IF($F301=Statement!$C$3,$G301,0)+IF($H301=Statement!$C$3,IF($I301="",0,$I301),0)</f>
        <v/>
      </c>
      <c r="X301">
        <f>IF(NOT($S301),"",IF(ISNUMBER($Q301),IF(AND($Q301&gt;=Statement!$C$6,$Q301&lt;=Statement!$C$7),"Clawback: credit reversed",""),"")&amp;IF(AND($B301&gt;=Statement!$C$6,$B301&lt;=Statement!$C$7,N($L301)&lt;1),"Partial credit: "&amp;TEXT($L301,"0%"),""))</f>
        <v/>
      </c>
    </row>
  </sheetData>
  <dataValidations count="4">
    <dataValidation sqref="D2:D301" showDropDown="0" showInputMessage="0" showErrorMessage="0" allowBlank="1" type="list">
      <formula1>='Plan setup'!$A$17:$A$21</formula1>
    </dataValidation>
    <dataValidation sqref="F2:F301 H2:H301" showDropDown="0" showInputMessage="0" showErrorMessage="0" allowBlank="1" type="list">
      <formula1>='Plan setup'!$A$25:$A$34</formula1>
    </dataValidation>
    <dataValidation sqref="G2:G301 I2:I301" showDropDown="0" showInputMessage="0" showErrorMessage="0" allowBlank="1" type="decimal" operator="between">
      <formula1>0</formula1>
      <formula2>1</formula2>
    </dataValidation>
    <dataValidation sqref="B2:B301 J2:J301" showDropDown="0" showInputMessage="0" showErrorMessage="0" allowBlank="1" type="date" operator="greaterThan">
      <formula1>36526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X121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4" customWidth="1" min="2" max="2"/>
    <col width="13" customWidth="1" min="3" max="3"/>
    <col width="13" customWidth="1" min="4" max="4"/>
    <col width="13" customWidth="1" min="5" max="5"/>
    <col width="16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</cols>
  <sheetData>
    <row r="1" ht="32" customHeight="1">
      <c r="A1" s="18" t="inlineStr">
        <is>
          <t>Rep #</t>
        </is>
      </c>
      <c r="B1" s="18" t="inlineStr">
        <is>
          <t>Rep</t>
        </is>
      </c>
      <c r="C1" s="18" t="inlineStr">
        <is>
          <t>Month #</t>
        </is>
      </c>
      <c r="D1" s="18" t="inlineStr">
        <is>
          <t>Month starts</t>
        </is>
      </c>
      <c r="E1" s="18" t="inlineStr">
        <is>
          <t>Month ends</t>
        </is>
      </c>
      <c r="F1" s="18" t="inlineStr">
        <is>
          <t>Key</t>
        </is>
      </c>
      <c r="G1" s="18" t="inlineStr">
        <is>
          <t>Annual quota</t>
        </is>
      </c>
      <c r="H1" s="18" t="inlineStr">
        <is>
          <t>Base commission rate</t>
        </is>
      </c>
      <c r="I1" s="18" t="inlineStr">
        <is>
          <t>Credit booked</t>
        </is>
      </c>
      <c r="J1" s="18" t="inlineStr">
        <is>
          <t>Clawbacks</t>
        </is>
      </c>
      <c r="K1" s="18" t="inlineStr">
        <is>
          <t>Net credit</t>
        </is>
      </c>
      <c r="L1" s="18" t="inlineStr">
        <is>
          <t>Credit YTD</t>
        </is>
      </c>
      <c r="M1" s="18" t="inlineStr">
        <is>
          <t>Attainment YTD</t>
        </is>
      </c>
      <c r="N1" s="18" t="inlineStr">
        <is>
          <t>Tier 1 credit</t>
        </is>
      </c>
      <c r="O1" s="18" t="inlineStr">
        <is>
          <t>Tier 2 credit</t>
        </is>
      </c>
      <c r="P1" s="18" t="inlineStr">
        <is>
          <t>Tier 3 credit</t>
        </is>
      </c>
      <c r="Q1" s="18" t="inlineStr">
        <is>
          <t>Tier 4 credit</t>
        </is>
      </c>
      <c r="R1" s="18" t="inlineStr">
        <is>
          <t>Earned YTD</t>
        </is>
      </c>
      <c r="S1" s="18" t="inlineStr">
        <is>
          <t>Paid before this month</t>
        </is>
      </c>
      <c r="T1" s="18" t="inlineStr">
        <is>
          <t>Payable this month</t>
        </is>
      </c>
      <c r="U1" s="18" t="inlineStr">
        <is>
          <t>Paid to date</t>
        </is>
      </c>
      <c r="V1" s="18" t="inlineStr">
        <is>
          <t>Owed back</t>
        </is>
      </c>
      <c r="W1" s="18" t="inlineStr">
        <is>
          <t>Current tier</t>
        </is>
      </c>
      <c r="X1" s="18" t="inlineStr">
        <is>
          <t>Effective rate YTD</t>
        </is>
      </c>
    </row>
    <row r="2">
      <c r="A2">
        <f>INT((ROW()-2)/12)+1</f>
        <v/>
      </c>
      <c r="B2">
        <f>IF(INDEX('Plan setup'!$A$25:$A$34,$A2)="","",INDEX('Plan setup'!$A$25:$A$34,$A2))</f>
        <v/>
      </c>
      <c r="C2">
        <f>MOD(ROW()-2,12)+1</f>
        <v/>
      </c>
      <c r="D2" s="24">
        <f>EDATE('Plan setup'!$B$3,$C2-1)</f>
        <v/>
      </c>
      <c r="E2" s="24">
        <f>EDATE('Plan setup'!$B$3,$C2)-1</f>
        <v/>
      </c>
      <c r="F2">
        <f>$B2&amp;"|"&amp;$C2</f>
        <v/>
      </c>
      <c r="G2" s="17">
        <f>IF($B2="",0,IFERROR(INDEX('Plan setup'!$C$25:$C$34,$A2)*1,0))</f>
        <v/>
      </c>
      <c r="H2" s="16">
        <f>IF($B2="",0,IFERROR(INDEX('Plan setup'!$E$25:$E$34,$A2)*1,0))</f>
        <v/>
      </c>
      <c r="I2" s="17">
        <f>IF($B2="",0,SUMIFS(Deals!$N$2:$N$301,Deals!$F$2:$F$301,$B2,Deals!$B$2:$B$301,"&gt;="&amp;$D2,Deals!$B$2:$B$301,"&lt;="&amp;$E2)+SUMIFS(Deals!$O$2:$O$301,Deals!$H$2:$H$301,$B2,Deals!$B$2:$B$301,"&gt;="&amp;$D2,Deals!$B$2:$B$301,"&lt;="&amp;$E2))</f>
        <v/>
      </c>
      <c r="J2" s="17">
        <f>IF($B2="",0,SUMIFS(Deals!$N$2:$N$301,Deals!$F$2:$F$301,$B2,Deals!$Q$2:$Q$301,"&gt;="&amp;$D2,Deals!$Q$2:$Q$301,"&lt;="&amp;$E2)+SUMIFS(Deals!$O$2:$O$301,Deals!$H$2:$H$301,$B2,Deals!$Q$2:$Q$301,"&gt;="&amp;$D2,Deals!$Q$2:$Q$301,"&lt;="&amp;$E2))</f>
        <v/>
      </c>
      <c r="K2" s="17">
        <f>$I2-$J2</f>
        <v/>
      </c>
      <c r="L2" s="17">
        <f>$K2</f>
        <v/>
      </c>
      <c r="M2" s="25">
        <f>IF($G2&gt;0,$L2/$G2,0)</f>
        <v/>
      </c>
      <c r="N2" s="17">
        <f>IF('Plan setup'!$B$10="",0,MAX(0,MIN(MAX($L2,0),IF('Plan setup'!$C$10="",9E+15,'Plan setup'!$C$10*$G2))-'Plan setup'!$B$10*$G2))</f>
        <v/>
      </c>
      <c r="O2" s="17">
        <f>IF('Plan setup'!$B$11="",0,MAX(0,MIN(MAX($L2,0),IF('Plan setup'!$C$11="",9E+15,'Plan setup'!$C$11*$G2))-'Plan setup'!$B$11*$G2))</f>
        <v/>
      </c>
      <c r="P2" s="17">
        <f>IF('Plan setup'!$B$12="",0,MAX(0,MIN(MAX($L2,0),IF('Plan setup'!$C$12="",9E+15,'Plan setup'!$C$12*$G2))-'Plan setup'!$B$12*$G2))</f>
        <v/>
      </c>
      <c r="Q2" s="17">
        <f>IF('Plan setup'!$B$13="",0,MAX(0,MIN(MAX($L2,0),IF('Plan setup'!$C$13="",9E+15,'Plan setup'!$C$13*$G2))-'Plan setup'!$B$13*$G2))</f>
        <v/>
      </c>
      <c r="R2" s="17">
        <f>$H2*($N2*N('Plan setup'!$D$10)+$O2*N('Plan setup'!$D$11)+$P2*N('Plan setup'!$D$12)+$Q2*N('Plan setup'!$D$13))</f>
        <v/>
      </c>
      <c r="S2" s="17">
        <f>0</f>
        <v/>
      </c>
      <c r="T2" s="17">
        <f>MAX(0,$R2-$S2)</f>
        <v/>
      </c>
      <c r="U2" s="17">
        <f>$S2+$T2</f>
        <v/>
      </c>
      <c r="V2" s="17">
        <f>MAX(0,$U2-$R2)</f>
        <v/>
      </c>
      <c r="W2">
        <f>IF($B2="","",IF($L2&lt;=0,"Tier 1","Tier "&amp;COUNTIF('Plan setup'!$B$10:$B$13,"&lt;="&amp;$M2)))</f>
        <v/>
      </c>
      <c r="X2" s="16">
        <f>IF($L2&gt;0,$R2/$L2,0)</f>
        <v/>
      </c>
    </row>
    <row r="3">
      <c r="A3">
        <f>INT((ROW()-2)/12)+1</f>
        <v/>
      </c>
      <c r="B3">
        <f>IF(INDEX('Plan setup'!$A$25:$A$34,$A3)="","",INDEX('Plan setup'!$A$25:$A$34,$A3))</f>
        <v/>
      </c>
      <c r="C3">
        <f>MOD(ROW()-2,12)+1</f>
        <v/>
      </c>
      <c r="D3" s="24">
        <f>EDATE('Plan setup'!$B$3,$C3-1)</f>
        <v/>
      </c>
      <c r="E3" s="24">
        <f>EDATE('Plan setup'!$B$3,$C3)-1</f>
        <v/>
      </c>
      <c r="F3">
        <f>$B3&amp;"|"&amp;$C3</f>
        <v/>
      </c>
      <c r="G3" s="17">
        <f>IF($B3="",0,IFERROR(INDEX('Plan setup'!$C$25:$C$34,$A3)*1,0))</f>
        <v/>
      </c>
      <c r="H3" s="16">
        <f>IF($B3="",0,IFERROR(INDEX('Plan setup'!$E$25:$E$34,$A3)*1,0))</f>
        <v/>
      </c>
      <c r="I3" s="17">
        <f>IF($B3="",0,SUMIFS(Deals!$N$2:$N$301,Deals!$F$2:$F$301,$B3,Deals!$B$2:$B$301,"&gt;="&amp;$D3,Deals!$B$2:$B$301,"&lt;="&amp;$E3)+SUMIFS(Deals!$O$2:$O$301,Deals!$H$2:$H$301,$B3,Deals!$B$2:$B$301,"&gt;="&amp;$D3,Deals!$B$2:$B$301,"&lt;="&amp;$E3))</f>
        <v/>
      </c>
      <c r="J3" s="17">
        <f>IF($B3="",0,SUMIFS(Deals!$N$2:$N$301,Deals!$F$2:$F$301,$B3,Deals!$Q$2:$Q$301,"&gt;="&amp;$D3,Deals!$Q$2:$Q$301,"&lt;="&amp;$E3)+SUMIFS(Deals!$O$2:$O$301,Deals!$H$2:$H$301,$B3,Deals!$Q$2:$Q$301,"&gt;="&amp;$D3,Deals!$Q$2:$Q$301,"&lt;="&amp;$E3))</f>
        <v/>
      </c>
      <c r="K3" s="17">
        <f>$I3-$J3</f>
        <v/>
      </c>
      <c r="L3" s="17">
        <f>IF($C3=1,$K3,$L2+$K3)</f>
        <v/>
      </c>
      <c r="M3" s="25">
        <f>IF($G3&gt;0,$L3/$G3,0)</f>
        <v/>
      </c>
      <c r="N3" s="17">
        <f>IF('Plan setup'!$B$10="",0,MAX(0,MIN(MAX($L3,0),IF('Plan setup'!$C$10="",9E+15,'Plan setup'!$C$10*$G3))-'Plan setup'!$B$10*$G3))</f>
        <v/>
      </c>
      <c r="O3" s="17">
        <f>IF('Plan setup'!$B$11="",0,MAX(0,MIN(MAX($L3,0),IF('Plan setup'!$C$11="",9E+15,'Plan setup'!$C$11*$G3))-'Plan setup'!$B$11*$G3))</f>
        <v/>
      </c>
      <c r="P3" s="17">
        <f>IF('Plan setup'!$B$12="",0,MAX(0,MIN(MAX($L3,0),IF('Plan setup'!$C$12="",9E+15,'Plan setup'!$C$12*$G3))-'Plan setup'!$B$12*$G3))</f>
        <v/>
      </c>
      <c r="Q3" s="17">
        <f>IF('Plan setup'!$B$13="",0,MAX(0,MIN(MAX($L3,0),IF('Plan setup'!$C$13="",9E+15,'Plan setup'!$C$13*$G3))-'Plan setup'!$B$13*$G3))</f>
        <v/>
      </c>
      <c r="R3" s="17">
        <f>$H3*($N3*N('Plan setup'!$D$10)+$O3*N('Plan setup'!$D$11)+$P3*N('Plan setup'!$D$12)+$Q3*N('Plan setup'!$D$13))</f>
        <v/>
      </c>
      <c r="S3" s="17">
        <f>IF($C3=1,0,$U2)</f>
        <v/>
      </c>
      <c r="T3" s="17">
        <f>MAX(0,$R3-$S3)</f>
        <v/>
      </c>
      <c r="U3" s="17">
        <f>$S3+$T3</f>
        <v/>
      </c>
      <c r="V3" s="17">
        <f>MAX(0,$U3-$R3)</f>
        <v/>
      </c>
      <c r="W3">
        <f>IF($B3="","",IF($L3&lt;=0,"Tier 1","Tier "&amp;COUNTIF('Plan setup'!$B$10:$B$13,"&lt;="&amp;$M3)))</f>
        <v/>
      </c>
      <c r="X3" s="16">
        <f>IF($L3&gt;0,$R3/$L3,0)</f>
        <v/>
      </c>
    </row>
    <row r="4">
      <c r="A4">
        <f>INT((ROW()-2)/12)+1</f>
        <v/>
      </c>
      <c r="B4">
        <f>IF(INDEX('Plan setup'!$A$25:$A$34,$A4)="","",INDEX('Plan setup'!$A$25:$A$34,$A4))</f>
        <v/>
      </c>
      <c r="C4">
        <f>MOD(ROW()-2,12)+1</f>
        <v/>
      </c>
      <c r="D4" s="24">
        <f>EDATE('Plan setup'!$B$3,$C4-1)</f>
        <v/>
      </c>
      <c r="E4" s="24">
        <f>EDATE('Plan setup'!$B$3,$C4)-1</f>
        <v/>
      </c>
      <c r="F4">
        <f>$B4&amp;"|"&amp;$C4</f>
        <v/>
      </c>
      <c r="G4" s="17">
        <f>IF($B4="",0,IFERROR(INDEX('Plan setup'!$C$25:$C$34,$A4)*1,0))</f>
        <v/>
      </c>
      <c r="H4" s="16">
        <f>IF($B4="",0,IFERROR(INDEX('Plan setup'!$E$25:$E$34,$A4)*1,0))</f>
        <v/>
      </c>
      <c r="I4" s="17">
        <f>IF($B4="",0,SUMIFS(Deals!$N$2:$N$301,Deals!$F$2:$F$301,$B4,Deals!$B$2:$B$301,"&gt;="&amp;$D4,Deals!$B$2:$B$301,"&lt;="&amp;$E4)+SUMIFS(Deals!$O$2:$O$301,Deals!$H$2:$H$301,$B4,Deals!$B$2:$B$301,"&gt;="&amp;$D4,Deals!$B$2:$B$301,"&lt;="&amp;$E4))</f>
        <v/>
      </c>
      <c r="J4" s="17">
        <f>IF($B4="",0,SUMIFS(Deals!$N$2:$N$301,Deals!$F$2:$F$301,$B4,Deals!$Q$2:$Q$301,"&gt;="&amp;$D4,Deals!$Q$2:$Q$301,"&lt;="&amp;$E4)+SUMIFS(Deals!$O$2:$O$301,Deals!$H$2:$H$301,$B4,Deals!$Q$2:$Q$301,"&gt;="&amp;$D4,Deals!$Q$2:$Q$301,"&lt;="&amp;$E4))</f>
        <v/>
      </c>
      <c r="K4" s="17">
        <f>$I4-$J4</f>
        <v/>
      </c>
      <c r="L4" s="17">
        <f>IF($C4=1,$K4,$L3+$K4)</f>
        <v/>
      </c>
      <c r="M4" s="25">
        <f>IF($G4&gt;0,$L4/$G4,0)</f>
        <v/>
      </c>
      <c r="N4" s="17">
        <f>IF('Plan setup'!$B$10="",0,MAX(0,MIN(MAX($L4,0),IF('Plan setup'!$C$10="",9E+15,'Plan setup'!$C$10*$G4))-'Plan setup'!$B$10*$G4))</f>
        <v/>
      </c>
      <c r="O4" s="17">
        <f>IF('Plan setup'!$B$11="",0,MAX(0,MIN(MAX($L4,0),IF('Plan setup'!$C$11="",9E+15,'Plan setup'!$C$11*$G4))-'Plan setup'!$B$11*$G4))</f>
        <v/>
      </c>
      <c r="P4" s="17">
        <f>IF('Plan setup'!$B$12="",0,MAX(0,MIN(MAX($L4,0),IF('Plan setup'!$C$12="",9E+15,'Plan setup'!$C$12*$G4))-'Plan setup'!$B$12*$G4))</f>
        <v/>
      </c>
      <c r="Q4" s="17">
        <f>IF('Plan setup'!$B$13="",0,MAX(0,MIN(MAX($L4,0),IF('Plan setup'!$C$13="",9E+15,'Plan setup'!$C$13*$G4))-'Plan setup'!$B$13*$G4))</f>
        <v/>
      </c>
      <c r="R4" s="17">
        <f>$H4*($N4*N('Plan setup'!$D$10)+$O4*N('Plan setup'!$D$11)+$P4*N('Plan setup'!$D$12)+$Q4*N('Plan setup'!$D$13))</f>
        <v/>
      </c>
      <c r="S4" s="17">
        <f>IF($C4=1,0,$U3)</f>
        <v/>
      </c>
      <c r="T4" s="17">
        <f>MAX(0,$R4-$S4)</f>
        <v/>
      </c>
      <c r="U4" s="17">
        <f>$S4+$T4</f>
        <v/>
      </c>
      <c r="V4" s="17">
        <f>MAX(0,$U4-$R4)</f>
        <v/>
      </c>
      <c r="W4">
        <f>IF($B4="","",IF($L4&lt;=0,"Tier 1","Tier "&amp;COUNTIF('Plan setup'!$B$10:$B$13,"&lt;="&amp;$M4)))</f>
        <v/>
      </c>
      <c r="X4" s="16">
        <f>IF($L4&gt;0,$R4/$L4,0)</f>
        <v/>
      </c>
    </row>
    <row r="5">
      <c r="A5">
        <f>INT((ROW()-2)/12)+1</f>
        <v/>
      </c>
      <c r="B5">
        <f>IF(INDEX('Plan setup'!$A$25:$A$34,$A5)="","",INDEX('Plan setup'!$A$25:$A$34,$A5))</f>
        <v/>
      </c>
      <c r="C5">
        <f>MOD(ROW()-2,12)+1</f>
        <v/>
      </c>
      <c r="D5" s="24">
        <f>EDATE('Plan setup'!$B$3,$C5-1)</f>
        <v/>
      </c>
      <c r="E5" s="24">
        <f>EDATE('Plan setup'!$B$3,$C5)-1</f>
        <v/>
      </c>
      <c r="F5">
        <f>$B5&amp;"|"&amp;$C5</f>
        <v/>
      </c>
      <c r="G5" s="17">
        <f>IF($B5="",0,IFERROR(INDEX('Plan setup'!$C$25:$C$34,$A5)*1,0))</f>
        <v/>
      </c>
      <c r="H5" s="16">
        <f>IF($B5="",0,IFERROR(INDEX('Plan setup'!$E$25:$E$34,$A5)*1,0))</f>
        <v/>
      </c>
      <c r="I5" s="17">
        <f>IF($B5="",0,SUMIFS(Deals!$N$2:$N$301,Deals!$F$2:$F$301,$B5,Deals!$B$2:$B$301,"&gt;="&amp;$D5,Deals!$B$2:$B$301,"&lt;="&amp;$E5)+SUMIFS(Deals!$O$2:$O$301,Deals!$H$2:$H$301,$B5,Deals!$B$2:$B$301,"&gt;="&amp;$D5,Deals!$B$2:$B$301,"&lt;="&amp;$E5))</f>
        <v/>
      </c>
      <c r="J5" s="17">
        <f>IF($B5="",0,SUMIFS(Deals!$N$2:$N$301,Deals!$F$2:$F$301,$B5,Deals!$Q$2:$Q$301,"&gt;="&amp;$D5,Deals!$Q$2:$Q$301,"&lt;="&amp;$E5)+SUMIFS(Deals!$O$2:$O$301,Deals!$H$2:$H$301,$B5,Deals!$Q$2:$Q$301,"&gt;="&amp;$D5,Deals!$Q$2:$Q$301,"&lt;="&amp;$E5))</f>
        <v/>
      </c>
      <c r="K5" s="17">
        <f>$I5-$J5</f>
        <v/>
      </c>
      <c r="L5" s="17">
        <f>IF($C5=1,$K5,$L4+$K5)</f>
        <v/>
      </c>
      <c r="M5" s="25">
        <f>IF($G5&gt;0,$L5/$G5,0)</f>
        <v/>
      </c>
      <c r="N5" s="17">
        <f>IF('Plan setup'!$B$10="",0,MAX(0,MIN(MAX($L5,0),IF('Plan setup'!$C$10="",9E+15,'Plan setup'!$C$10*$G5))-'Plan setup'!$B$10*$G5))</f>
        <v/>
      </c>
      <c r="O5" s="17">
        <f>IF('Plan setup'!$B$11="",0,MAX(0,MIN(MAX($L5,0),IF('Plan setup'!$C$11="",9E+15,'Plan setup'!$C$11*$G5))-'Plan setup'!$B$11*$G5))</f>
        <v/>
      </c>
      <c r="P5" s="17">
        <f>IF('Plan setup'!$B$12="",0,MAX(0,MIN(MAX($L5,0),IF('Plan setup'!$C$12="",9E+15,'Plan setup'!$C$12*$G5))-'Plan setup'!$B$12*$G5))</f>
        <v/>
      </c>
      <c r="Q5" s="17">
        <f>IF('Plan setup'!$B$13="",0,MAX(0,MIN(MAX($L5,0),IF('Plan setup'!$C$13="",9E+15,'Plan setup'!$C$13*$G5))-'Plan setup'!$B$13*$G5))</f>
        <v/>
      </c>
      <c r="R5" s="17">
        <f>$H5*($N5*N('Plan setup'!$D$10)+$O5*N('Plan setup'!$D$11)+$P5*N('Plan setup'!$D$12)+$Q5*N('Plan setup'!$D$13))</f>
        <v/>
      </c>
      <c r="S5" s="17">
        <f>IF($C5=1,0,$U4)</f>
        <v/>
      </c>
      <c r="T5" s="17">
        <f>MAX(0,$R5-$S5)</f>
        <v/>
      </c>
      <c r="U5" s="17">
        <f>$S5+$T5</f>
        <v/>
      </c>
      <c r="V5" s="17">
        <f>MAX(0,$U5-$R5)</f>
        <v/>
      </c>
      <c r="W5">
        <f>IF($B5="","",IF($L5&lt;=0,"Tier 1","Tier "&amp;COUNTIF('Plan setup'!$B$10:$B$13,"&lt;="&amp;$M5)))</f>
        <v/>
      </c>
      <c r="X5" s="16">
        <f>IF($L5&gt;0,$R5/$L5,0)</f>
        <v/>
      </c>
    </row>
    <row r="6">
      <c r="A6">
        <f>INT((ROW()-2)/12)+1</f>
        <v/>
      </c>
      <c r="B6">
        <f>IF(INDEX('Plan setup'!$A$25:$A$34,$A6)="","",INDEX('Plan setup'!$A$25:$A$34,$A6))</f>
        <v/>
      </c>
      <c r="C6">
        <f>MOD(ROW()-2,12)+1</f>
        <v/>
      </c>
      <c r="D6" s="24">
        <f>EDATE('Plan setup'!$B$3,$C6-1)</f>
        <v/>
      </c>
      <c r="E6" s="24">
        <f>EDATE('Plan setup'!$B$3,$C6)-1</f>
        <v/>
      </c>
      <c r="F6">
        <f>$B6&amp;"|"&amp;$C6</f>
        <v/>
      </c>
      <c r="G6" s="17">
        <f>IF($B6="",0,IFERROR(INDEX('Plan setup'!$C$25:$C$34,$A6)*1,0))</f>
        <v/>
      </c>
      <c r="H6" s="16">
        <f>IF($B6="",0,IFERROR(INDEX('Plan setup'!$E$25:$E$34,$A6)*1,0))</f>
        <v/>
      </c>
      <c r="I6" s="17">
        <f>IF($B6="",0,SUMIFS(Deals!$N$2:$N$301,Deals!$F$2:$F$301,$B6,Deals!$B$2:$B$301,"&gt;="&amp;$D6,Deals!$B$2:$B$301,"&lt;="&amp;$E6)+SUMIFS(Deals!$O$2:$O$301,Deals!$H$2:$H$301,$B6,Deals!$B$2:$B$301,"&gt;="&amp;$D6,Deals!$B$2:$B$301,"&lt;="&amp;$E6))</f>
        <v/>
      </c>
      <c r="J6" s="17">
        <f>IF($B6="",0,SUMIFS(Deals!$N$2:$N$301,Deals!$F$2:$F$301,$B6,Deals!$Q$2:$Q$301,"&gt;="&amp;$D6,Deals!$Q$2:$Q$301,"&lt;="&amp;$E6)+SUMIFS(Deals!$O$2:$O$301,Deals!$H$2:$H$301,$B6,Deals!$Q$2:$Q$301,"&gt;="&amp;$D6,Deals!$Q$2:$Q$301,"&lt;="&amp;$E6))</f>
        <v/>
      </c>
      <c r="K6" s="17">
        <f>$I6-$J6</f>
        <v/>
      </c>
      <c r="L6" s="17">
        <f>IF($C6=1,$K6,$L5+$K6)</f>
        <v/>
      </c>
      <c r="M6" s="25">
        <f>IF($G6&gt;0,$L6/$G6,0)</f>
        <v/>
      </c>
      <c r="N6" s="17">
        <f>IF('Plan setup'!$B$10="",0,MAX(0,MIN(MAX($L6,0),IF('Plan setup'!$C$10="",9E+15,'Plan setup'!$C$10*$G6))-'Plan setup'!$B$10*$G6))</f>
        <v/>
      </c>
      <c r="O6" s="17">
        <f>IF('Plan setup'!$B$11="",0,MAX(0,MIN(MAX($L6,0),IF('Plan setup'!$C$11="",9E+15,'Plan setup'!$C$11*$G6))-'Plan setup'!$B$11*$G6))</f>
        <v/>
      </c>
      <c r="P6" s="17">
        <f>IF('Plan setup'!$B$12="",0,MAX(0,MIN(MAX($L6,0),IF('Plan setup'!$C$12="",9E+15,'Plan setup'!$C$12*$G6))-'Plan setup'!$B$12*$G6))</f>
        <v/>
      </c>
      <c r="Q6" s="17">
        <f>IF('Plan setup'!$B$13="",0,MAX(0,MIN(MAX($L6,0),IF('Plan setup'!$C$13="",9E+15,'Plan setup'!$C$13*$G6))-'Plan setup'!$B$13*$G6))</f>
        <v/>
      </c>
      <c r="R6" s="17">
        <f>$H6*($N6*N('Plan setup'!$D$10)+$O6*N('Plan setup'!$D$11)+$P6*N('Plan setup'!$D$12)+$Q6*N('Plan setup'!$D$13))</f>
        <v/>
      </c>
      <c r="S6" s="17">
        <f>IF($C6=1,0,$U5)</f>
        <v/>
      </c>
      <c r="T6" s="17">
        <f>MAX(0,$R6-$S6)</f>
        <v/>
      </c>
      <c r="U6" s="17">
        <f>$S6+$T6</f>
        <v/>
      </c>
      <c r="V6" s="17">
        <f>MAX(0,$U6-$R6)</f>
        <v/>
      </c>
      <c r="W6">
        <f>IF($B6="","",IF($L6&lt;=0,"Tier 1","Tier "&amp;COUNTIF('Plan setup'!$B$10:$B$13,"&lt;="&amp;$M6)))</f>
        <v/>
      </c>
      <c r="X6" s="16">
        <f>IF($L6&gt;0,$R6/$L6,0)</f>
        <v/>
      </c>
    </row>
    <row r="7">
      <c r="A7">
        <f>INT((ROW()-2)/12)+1</f>
        <v/>
      </c>
      <c r="B7">
        <f>IF(INDEX('Plan setup'!$A$25:$A$34,$A7)="","",INDEX('Plan setup'!$A$25:$A$34,$A7))</f>
        <v/>
      </c>
      <c r="C7">
        <f>MOD(ROW()-2,12)+1</f>
        <v/>
      </c>
      <c r="D7" s="24">
        <f>EDATE('Plan setup'!$B$3,$C7-1)</f>
        <v/>
      </c>
      <c r="E7" s="24">
        <f>EDATE('Plan setup'!$B$3,$C7)-1</f>
        <v/>
      </c>
      <c r="F7">
        <f>$B7&amp;"|"&amp;$C7</f>
        <v/>
      </c>
      <c r="G7" s="17">
        <f>IF($B7="",0,IFERROR(INDEX('Plan setup'!$C$25:$C$34,$A7)*1,0))</f>
        <v/>
      </c>
      <c r="H7" s="16">
        <f>IF($B7="",0,IFERROR(INDEX('Plan setup'!$E$25:$E$34,$A7)*1,0))</f>
        <v/>
      </c>
      <c r="I7" s="17">
        <f>IF($B7="",0,SUMIFS(Deals!$N$2:$N$301,Deals!$F$2:$F$301,$B7,Deals!$B$2:$B$301,"&gt;="&amp;$D7,Deals!$B$2:$B$301,"&lt;="&amp;$E7)+SUMIFS(Deals!$O$2:$O$301,Deals!$H$2:$H$301,$B7,Deals!$B$2:$B$301,"&gt;="&amp;$D7,Deals!$B$2:$B$301,"&lt;="&amp;$E7))</f>
        <v/>
      </c>
      <c r="J7" s="17">
        <f>IF($B7="",0,SUMIFS(Deals!$N$2:$N$301,Deals!$F$2:$F$301,$B7,Deals!$Q$2:$Q$301,"&gt;="&amp;$D7,Deals!$Q$2:$Q$301,"&lt;="&amp;$E7)+SUMIFS(Deals!$O$2:$O$301,Deals!$H$2:$H$301,$B7,Deals!$Q$2:$Q$301,"&gt;="&amp;$D7,Deals!$Q$2:$Q$301,"&lt;="&amp;$E7))</f>
        <v/>
      </c>
      <c r="K7" s="17">
        <f>$I7-$J7</f>
        <v/>
      </c>
      <c r="L7" s="17">
        <f>IF($C7=1,$K7,$L6+$K7)</f>
        <v/>
      </c>
      <c r="M7" s="25">
        <f>IF($G7&gt;0,$L7/$G7,0)</f>
        <v/>
      </c>
      <c r="N7" s="17">
        <f>IF('Plan setup'!$B$10="",0,MAX(0,MIN(MAX($L7,0),IF('Plan setup'!$C$10="",9E+15,'Plan setup'!$C$10*$G7))-'Plan setup'!$B$10*$G7))</f>
        <v/>
      </c>
      <c r="O7" s="17">
        <f>IF('Plan setup'!$B$11="",0,MAX(0,MIN(MAX($L7,0),IF('Plan setup'!$C$11="",9E+15,'Plan setup'!$C$11*$G7))-'Plan setup'!$B$11*$G7))</f>
        <v/>
      </c>
      <c r="P7" s="17">
        <f>IF('Plan setup'!$B$12="",0,MAX(0,MIN(MAX($L7,0),IF('Plan setup'!$C$12="",9E+15,'Plan setup'!$C$12*$G7))-'Plan setup'!$B$12*$G7))</f>
        <v/>
      </c>
      <c r="Q7" s="17">
        <f>IF('Plan setup'!$B$13="",0,MAX(0,MIN(MAX($L7,0),IF('Plan setup'!$C$13="",9E+15,'Plan setup'!$C$13*$G7))-'Plan setup'!$B$13*$G7))</f>
        <v/>
      </c>
      <c r="R7" s="17">
        <f>$H7*($N7*N('Plan setup'!$D$10)+$O7*N('Plan setup'!$D$11)+$P7*N('Plan setup'!$D$12)+$Q7*N('Plan setup'!$D$13))</f>
        <v/>
      </c>
      <c r="S7" s="17">
        <f>IF($C7=1,0,$U6)</f>
        <v/>
      </c>
      <c r="T7" s="17">
        <f>MAX(0,$R7-$S7)</f>
        <v/>
      </c>
      <c r="U7" s="17">
        <f>$S7+$T7</f>
        <v/>
      </c>
      <c r="V7" s="17">
        <f>MAX(0,$U7-$R7)</f>
        <v/>
      </c>
      <c r="W7">
        <f>IF($B7="","",IF($L7&lt;=0,"Tier 1","Tier "&amp;COUNTIF('Plan setup'!$B$10:$B$13,"&lt;="&amp;$M7)))</f>
        <v/>
      </c>
      <c r="X7" s="16">
        <f>IF($L7&gt;0,$R7/$L7,0)</f>
        <v/>
      </c>
    </row>
    <row r="8">
      <c r="A8">
        <f>INT((ROW()-2)/12)+1</f>
        <v/>
      </c>
      <c r="B8">
        <f>IF(INDEX('Plan setup'!$A$25:$A$34,$A8)="","",INDEX('Plan setup'!$A$25:$A$34,$A8))</f>
        <v/>
      </c>
      <c r="C8">
        <f>MOD(ROW()-2,12)+1</f>
        <v/>
      </c>
      <c r="D8" s="24">
        <f>EDATE('Plan setup'!$B$3,$C8-1)</f>
        <v/>
      </c>
      <c r="E8" s="24">
        <f>EDATE('Plan setup'!$B$3,$C8)-1</f>
        <v/>
      </c>
      <c r="F8">
        <f>$B8&amp;"|"&amp;$C8</f>
        <v/>
      </c>
      <c r="G8" s="17">
        <f>IF($B8="",0,IFERROR(INDEX('Plan setup'!$C$25:$C$34,$A8)*1,0))</f>
        <v/>
      </c>
      <c r="H8" s="16">
        <f>IF($B8="",0,IFERROR(INDEX('Plan setup'!$E$25:$E$34,$A8)*1,0))</f>
        <v/>
      </c>
      <c r="I8" s="17">
        <f>IF($B8="",0,SUMIFS(Deals!$N$2:$N$301,Deals!$F$2:$F$301,$B8,Deals!$B$2:$B$301,"&gt;="&amp;$D8,Deals!$B$2:$B$301,"&lt;="&amp;$E8)+SUMIFS(Deals!$O$2:$O$301,Deals!$H$2:$H$301,$B8,Deals!$B$2:$B$301,"&gt;="&amp;$D8,Deals!$B$2:$B$301,"&lt;="&amp;$E8))</f>
        <v/>
      </c>
      <c r="J8" s="17">
        <f>IF($B8="",0,SUMIFS(Deals!$N$2:$N$301,Deals!$F$2:$F$301,$B8,Deals!$Q$2:$Q$301,"&gt;="&amp;$D8,Deals!$Q$2:$Q$301,"&lt;="&amp;$E8)+SUMIFS(Deals!$O$2:$O$301,Deals!$H$2:$H$301,$B8,Deals!$Q$2:$Q$301,"&gt;="&amp;$D8,Deals!$Q$2:$Q$301,"&lt;="&amp;$E8))</f>
        <v/>
      </c>
      <c r="K8" s="17">
        <f>$I8-$J8</f>
        <v/>
      </c>
      <c r="L8" s="17">
        <f>IF($C8=1,$K8,$L7+$K8)</f>
        <v/>
      </c>
      <c r="M8" s="25">
        <f>IF($G8&gt;0,$L8/$G8,0)</f>
        <v/>
      </c>
      <c r="N8" s="17">
        <f>IF('Plan setup'!$B$10="",0,MAX(0,MIN(MAX($L8,0),IF('Plan setup'!$C$10="",9E+15,'Plan setup'!$C$10*$G8))-'Plan setup'!$B$10*$G8))</f>
        <v/>
      </c>
      <c r="O8" s="17">
        <f>IF('Plan setup'!$B$11="",0,MAX(0,MIN(MAX($L8,0),IF('Plan setup'!$C$11="",9E+15,'Plan setup'!$C$11*$G8))-'Plan setup'!$B$11*$G8))</f>
        <v/>
      </c>
      <c r="P8" s="17">
        <f>IF('Plan setup'!$B$12="",0,MAX(0,MIN(MAX($L8,0),IF('Plan setup'!$C$12="",9E+15,'Plan setup'!$C$12*$G8))-'Plan setup'!$B$12*$G8))</f>
        <v/>
      </c>
      <c r="Q8" s="17">
        <f>IF('Plan setup'!$B$13="",0,MAX(0,MIN(MAX($L8,0),IF('Plan setup'!$C$13="",9E+15,'Plan setup'!$C$13*$G8))-'Plan setup'!$B$13*$G8))</f>
        <v/>
      </c>
      <c r="R8" s="17">
        <f>$H8*($N8*N('Plan setup'!$D$10)+$O8*N('Plan setup'!$D$11)+$P8*N('Plan setup'!$D$12)+$Q8*N('Plan setup'!$D$13))</f>
        <v/>
      </c>
      <c r="S8" s="17">
        <f>IF($C8=1,0,$U7)</f>
        <v/>
      </c>
      <c r="T8" s="17">
        <f>MAX(0,$R8-$S8)</f>
        <v/>
      </c>
      <c r="U8" s="17">
        <f>$S8+$T8</f>
        <v/>
      </c>
      <c r="V8" s="17">
        <f>MAX(0,$U8-$R8)</f>
        <v/>
      </c>
      <c r="W8">
        <f>IF($B8="","",IF($L8&lt;=0,"Tier 1","Tier "&amp;COUNTIF('Plan setup'!$B$10:$B$13,"&lt;="&amp;$M8)))</f>
        <v/>
      </c>
      <c r="X8" s="16">
        <f>IF($L8&gt;0,$R8/$L8,0)</f>
        <v/>
      </c>
    </row>
    <row r="9">
      <c r="A9">
        <f>INT((ROW()-2)/12)+1</f>
        <v/>
      </c>
      <c r="B9">
        <f>IF(INDEX('Plan setup'!$A$25:$A$34,$A9)="","",INDEX('Plan setup'!$A$25:$A$34,$A9))</f>
        <v/>
      </c>
      <c r="C9">
        <f>MOD(ROW()-2,12)+1</f>
        <v/>
      </c>
      <c r="D9" s="24">
        <f>EDATE('Plan setup'!$B$3,$C9-1)</f>
        <v/>
      </c>
      <c r="E9" s="24">
        <f>EDATE('Plan setup'!$B$3,$C9)-1</f>
        <v/>
      </c>
      <c r="F9">
        <f>$B9&amp;"|"&amp;$C9</f>
        <v/>
      </c>
      <c r="G9" s="17">
        <f>IF($B9="",0,IFERROR(INDEX('Plan setup'!$C$25:$C$34,$A9)*1,0))</f>
        <v/>
      </c>
      <c r="H9" s="16">
        <f>IF($B9="",0,IFERROR(INDEX('Plan setup'!$E$25:$E$34,$A9)*1,0))</f>
        <v/>
      </c>
      <c r="I9" s="17">
        <f>IF($B9="",0,SUMIFS(Deals!$N$2:$N$301,Deals!$F$2:$F$301,$B9,Deals!$B$2:$B$301,"&gt;="&amp;$D9,Deals!$B$2:$B$301,"&lt;="&amp;$E9)+SUMIFS(Deals!$O$2:$O$301,Deals!$H$2:$H$301,$B9,Deals!$B$2:$B$301,"&gt;="&amp;$D9,Deals!$B$2:$B$301,"&lt;="&amp;$E9))</f>
        <v/>
      </c>
      <c r="J9" s="17">
        <f>IF($B9="",0,SUMIFS(Deals!$N$2:$N$301,Deals!$F$2:$F$301,$B9,Deals!$Q$2:$Q$301,"&gt;="&amp;$D9,Deals!$Q$2:$Q$301,"&lt;="&amp;$E9)+SUMIFS(Deals!$O$2:$O$301,Deals!$H$2:$H$301,$B9,Deals!$Q$2:$Q$301,"&gt;="&amp;$D9,Deals!$Q$2:$Q$301,"&lt;="&amp;$E9))</f>
        <v/>
      </c>
      <c r="K9" s="17">
        <f>$I9-$J9</f>
        <v/>
      </c>
      <c r="L9" s="17">
        <f>IF($C9=1,$K9,$L8+$K9)</f>
        <v/>
      </c>
      <c r="M9" s="25">
        <f>IF($G9&gt;0,$L9/$G9,0)</f>
        <v/>
      </c>
      <c r="N9" s="17">
        <f>IF('Plan setup'!$B$10="",0,MAX(0,MIN(MAX($L9,0),IF('Plan setup'!$C$10="",9E+15,'Plan setup'!$C$10*$G9))-'Plan setup'!$B$10*$G9))</f>
        <v/>
      </c>
      <c r="O9" s="17">
        <f>IF('Plan setup'!$B$11="",0,MAX(0,MIN(MAX($L9,0),IF('Plan setup'!$C$11="",9E+15,'Plan setup'!$C$11*$G9))-'Plan setup'!$B$11*$G9))</f>
        <v/>
      </c>
      <c r="P9" s="17">
        <f>IF('Plan setup'!$B$12="",0,MAX(0,MIN(MAX($L9,0),IF('Plan setup'!$C$12="",9E+15,'Plan setup'!$C$12*$G9))-'Plan setup'!$B$12*$G9))</f>
        <v/>
      </c>
      <c r="Q9" s="17">
        <f>IF('Plan setup'!$B$13="",0,MAX(0,MIN(MAX($L9,0),IF('Plan setup'!$C$13="",9E+15,'Plan setup'!$C$13*$G9))-'Plan setup'!$B$13*$G9))</f>
        <v/>
      </c>
      <c r="R9" s="17">
        <f>$H9*($N9*N('Plan setup'!$D$10)+$O9*N('Plan setup'!$D$11)+$P9*N('Plan setup'!$D$12)+$Q9*N('Plan setup'!$D$13))</f>
        <v/>
      </c>
      <c r="S9" s="17">
        <f>IF($C9=1,0,$U8)</f>
        <v/>
      </c>
      <c r="T9" s="17">
        <f>MAX(0,$R9-$S9)</f>
        <v/>
      </c>
      <c r="U9" s="17">
        <f>$S9+$T9</f>
        <v/>
      </c>
      <c r="V9" s="17">
        <f>MAX(0,$U9-$R9)</f>
        <v/>
      </c>
      <c r="W9">
        <f>IF($B9="","",IF($L9&lt;=0,"Tier 1","Tier "&amp;COUNTIF('Plan setup'!$B$10:$B$13,"&lt;="&amp;$M9)))</f>
        <v/>
      </c>
      <c r="X9" s="16">
        <f>IF($L9&gt;0,$R9/$L9,0)</f>
        <v/>
      </c>
    </row>
    <row r="10">
      <c r="A10">
        <f>INT((ROW()-2)/12)+1</f>
        <v/>
      </c>
      <c r="B10">
        <f>IF(INDEX('Plan setup'!$A$25:$A$34,$A10)="","",INDEX('Plan setup'!$A$25:$A$34,$A10))</f>
        <v/>
      </c>
      <c r="C10">
        <f>MOD(ROW()-2,12)+1</f>
        <v/>
      </c>
      <c r="D10" s="24">
        <f>EDATE('Plan setup'!$B$3,$C10-1)</f>
        <v/>
      </c>
      <c r="E10" s="24">
        <f>EDATE('Plan setup'!$B$3,$C10)-1</f>
        <v/>
      </c>
      <c r="F10">
        <f>$B10&amp;"|"&amp;$C10</f>
        <v/>
      </c>
      <c r="G10" s="17">
        <f>IF($B10="",0,IFERROR(INDEX('Plan setup'!$C$25:$C$34,$A10)*1,0))</f>
        <v/>
      </c>
      <c r="H10" s="16">
        <f>IF($B10="",0,IFERROR(INDEX('Plan setup'!$E$25:$E$34,$A10)*1,0))</f>
        <v/>
      </c>
      <c r="I10" s="17">
        <f>IF($B10="",0,SUMIFS(Deals!$N$2:$N$301,Deals!$F$2:$F$301,$B10,Deals!$B$2:$B$301,"&gt;="&amp;$D10,Deals!$B$2:$B$301,"&lt;="&amp;$E10)+SUMIFS(Deals!$O$2:$O$301,Deals!$H$2:$H$301,$B10,Deals!$B$2:$B$301,"&gt;="&amp;$D10,Deals!$B$2:$B$301,"&lt;="&amp;$E10))</f>
        <v/>
      </c>
      <c r="J10" s="17">
        <f>IF($B10="",0,SUMIFS(Deals!$N$2:$N$301,Deals!$F$2:$F$301,$B10,Deals!$Q$2:$Q$301,"&gt;="&amp;$D10,Deals!$Q$2:$Q$301,"&lt;="&amp;$E10)+SUMIFS(Deals!$O$2:$O$301,Deals!$H$2:$H$301,$B10,Deals!$Q$2:$Q$301,"&gt;="&amp;$D10,Deals!$Q$2:$Q$301,"&lt;="&amp;$E10))</f>
        <v/>
      </c>
      <c r="K10" s="17">
        <f>$I10-$J10</f>
        <v/>
      </c>
      <c r="L10" s="17">
        <f>IF($C10=1,$K10,$L9+$K10)</f>
        <v/>
      </c>
      <c r="M10" s="25">
        <f>IF($G10&gt;0,$L10/$G10,0)</f>
        <v/>
      </c>
      <c r="N10" s="17">
        <f>IF('Plan setup'!$B$10="",0,MAX(0,MIN(MAX($L10,0),IF('Plan setup'!$C$10="",9E+15,'Plan setup'!$C$10*$G10))-'Plan setup'!$B$10*$G10))</f>
        <v/>
      </c>
      <c r="O10" s="17">
        <f>IF('Plan setup'!$B$11="",0,MAX(0,MIN(MAX($L10,0),IF('Plan setup'!$C$11="",9E+15,'Plan setup'!$C$11*$G10))-'Plan setup'!$B$11*$G10))</f>
        <v/>
      </c>
      <c r="P10" s="17">
        <f>IF('Plan setup'!$B$12="",0,MAX(0,MIN(MAX($L10,0),IF('Plan setup'!$C$12="",9E+15,'Plan setup'!$C$12*$G10))-'Plan setup'!$B$12*$G10))</f>
        <v/>
      </c>
      <c r="Q10" s="17">
        <f>IF('Plan setup'!$B$13="",0,MAX(0,MIN(MAX($L10,0),IF('Plan setup'!$C$13="",9E+15,'Plan setup'!$C$13*$G10))-'Plan setup'!$B$13*$G10))</f>
        <v/>
      </c>
      <c r="R10" s="17">
        <f>$H10*($N10*N('Plan setup'!$D$10)+$O10*N('Plan setup'!$D$11)+$P10*N('Plan setup'!$D$12)+$Q10*N('Plan setup'!$D$13))</f>
        <v/>
      </c>
      <c r="S10" s="17">
        <f>IF($C10=1,0,$U9)</f>
        <v/>
      </c>
      <c r="T10" s="17">
        <f>MAX(0,$R10-$S10)</f>
        <v/>
      </c>
      <c r="U10" s="17">
        <f>$S10+$T10</f>
        <v/>
      </c>
      <c r="V10" s="17">
        <f>MAX(0,$U10-$R10)</f>
        <v/>
      </c>
      <c r="W10">
        <f>IF($B10="","",IF($L10&lt;=0,"Tier 1","Tier "&amp;COUNTIF('Plan setup'!$B$10:$B$13,"&lt;="&amp;$M10)))</f>
        <v/>
      </c>
      <c r="X10" s="16">
        <f>IF($L10&gt;0,$R10/$L10,0)</f>
        <v/>
      </c>
    </row>
    <row r="11">
      <c r="A11">
        <f>INT((ROW()-2)/12)+1</f>
        <v/>
      </c>
      <c r="B11">
        <f>IF(INDEX('Plan setup'!$A$25:$A$34,$A11)="","",INDEX('Plan setup'!$A$25:$A$34,$A11))</f>
        <v/>
      </c>
      <c r="C11">
        <f>MOD(ROW()-2,12)+1</f>
        <v/>
      </c>
      <c r="D11" s="24">
        <f>EDATE('Plan setup'!$B$3,$C11-1)</f>
        <v/>
      </c>
      <c r="E11" s="24">
        <f>EDATE('Plan setup'!$B$3,$C11)-1</f>
        <v/>
      </c>
      <c r="F11">
        <f>$B11&amp;"|"&amp;$C11</f>
        <v/>
      </c>
      <c r="G11" s="17">
        <f>IF($B11="",0,IFERROR(INDEX('Plan setup'!$C$25:$C$34,$A11)*1,0))</f>
        <v/>
      </c>
      <c r="H11" s="16">
        <f>IF($B11="",0,IFERROR(INDEX('Plan setup'!$E$25:$E$34,$A11)*1,0))</f>
        <v/>
      </c>
      <c r="I11" s="17">
        <f>IF($B11="",0,SUMIFS(Deals!$N$2:$N$301,Deals!$F$2:$F$301,$B11,Deals!$B$2:$B$301,"&gt;="&amp;$D11,Deals!$B$2:$B$301,"&lt;="&amp;$E11)+SUMIFS(Deals!$O$2:$O$301,Deals!$H$2:$H$301,$B11,Deals!$B$2:$B$301,"&gt;="&amp;$D11,Deals!$B$2:$B$301,"&lt;="&amp;$E11))</f>
        <v/>
      </c>
      <c r="J11" s="17">
        <f>IF($B11="",0,SUMIFS(Deals!$N$2:$N$301,Deals!$F$2:$F$301,$B11,Deals!$Q$2:$Q$301,"&gt;="&amp;$D11,Deals!$Q$2:$Q$301,"&lt;="&amp;$E11)+SUMIFS(Deals!$O$2:$O$301,Deals!$H$2:$H$301,$B11,Deals!$Q$2:$Q$301,"&gt;="&amp;$D11,Deals!$Q$2:$Q$301,"&lt;="&amp;$E11))</f>
        <v/>
      </c>
      <c r="K11" s="17">
        <f>$I11-$J11</f>
        <v/>
      </c>
      <c r="L11" s="17">
        <f>IF($C11=1,$K11,$L10+$K11)</f>
        <v/>
      </c>
      <c r="M11" s="25">
        <f>IF($G11&gt;0,$L11/$G11,0)</f>
        <v/>
      </c>
      <c r="N11" s="17">
        <f>IF('Plan setup'!$B$10="",0,MAX(0,MIN(MAX($L11,0),IF('Plan setup'!$C$10="",9E+15,'Plan setup'!$C$10*$G11))-'Plan setup'!$B$10*$G11))</f>
        <v/>
      </c>
      <c r="O11" s="17">
        <f>IF('Plan setup'!$B$11="",0,MAX(0,MIN(MAX($L11,0),IF('Plan setup'!$C$11="",9E+15,'Plan setup'!$C$11*$G11))-'Plan setup'!$B$11*$G11))</f>
        <v/>
      </c>
      <c r="P11" s="17">
        <f>IF('Plan setup'!$B$12="",0,MAX(0,MIN(MAX($L11,0),IF('Plan setup'!$C$12="",9E+15,'Plan setup'!$C$12*$G11))-'Plan setup'!$B$12*$G11))</f>
        <v/>
      </c>
      <c r="Q11" s="17">
        <f>IF('Plan setup'!$B$13="",0,MAX(0,MIN(MAX($L11,0),IF('Plan setup'!$C$13="",9E+15,'Plan setup'!$C$13*$G11))-'Plan setup'!$B$13*$G11))</f>
        <v/>
      </c>
      <c r="R11" s="17">
        <f>$H11*($N11*N('Plan setup'!$D$10)+$O11*N('Plan setup'!$D$11)+$P11*N('Plan setup'!$D$12)+$Q11*N('Plan setup'!$D$13))</f>
        <v/>
      </c>
      <c r="S11" s="17">
        <f>IF($C11=1,0,$U10)</f>
        <v/>
      </c>
      <c r="T11" s="17">
        <f>MAX(0,$R11-$S11)</f>
        <v/>
      </c>
      <c r="U11" s="17">
        <f>$S11+$T11</f>
        <v/>
      </c>
      <c r="V11" s="17">
        <f>MAX(0,$U11-$R11)</f>
        <v/>
      </c>
      <c r="W11">
        <f>IF($B11="","",IF($L11&lt;=0,"Tier 1","Tier "&amp;COUNTIF('Plan setup'!$B$10:$B$13,"&lt;="&amp;$M11)))</f>
        <v/>
      </c>
      <c r="X11" s="16">
        <f>IF($L11&gt;0,$R11/$L11,0)</f>
        <v/>
      </c>
    </row>
    <row r="12">
      <c r="A12">
        <f>INT((ROW()-2)/12)+1</f>
        <v/>
      </c>
      <c r="B12">
        <f>IF(INDEX('Plan setup'!$A$25:$A$34,$A12)="","",INDEX('Plan setup'!$A$25:$A$34,$A12))</f>
        <v/>
      </c>
      <c r="C12">
        <f>MOD(ROW()-2,12)+1</f>
        <v/>
      </c>
      <c r="D12" s="24">
        <f>EDATE('Plan setup'!$B$3,$C12-1)</f>
        <v/>
      </c>
      <c r="E12" s="24">
        <f>EDATE('Plan setup'!$B$3,$C12)-1</f>
        <v/>
      </c>
      <c r="F12">
        <f>$B12&amp;"|"&amp;$C12</f>
        <v/>
      </c>
      <c r="G12" s="17">
        <f>IF($B12="",0,IFERROR(INDEX('Plan setup'!$C$25:$C$34,$A12)*1,0))</f>
        <v/>
      </c>
      <c r="H12" s="16">
        <f>IF($B12="",0,IFERROR(INDEX('Plan setup'!$E$25:$E$34,$A12)*1,0))</f>
        <v/>
      </c>
      <c r="I12" s="17">
        <f>IF($B12="",0,SUMIFS(Deals!$N$2:$N$301,Deals!$F$2:$F$301,$B12,Deals!$B$2:$B$301,"&gt;="&amp;$D12,Deals!$B$2:$B$301,"&lt;="&amp;$E12)+SUMIFS(Deals!$O$2:$O$301,Deals!$H$2:$H$301,$B12,Deals!$B$2:$B$301,"&gt;="&amp;$D12,Deals!$B$2:$B$301,"&lt;="&amp;$E12))</f>
        <v/>
      </c>
      <c r="J12" s="17">
        <f>IF($B12="",0,SUMIFS(Deals!$N$2:$N$301,Deals!$F$2:$F$301,$B12,Deals!$Q$2:$Q$301,"&gt;="&amp;$D12,Deals!$Q$2:$Q$301,"&lt;="&amp;$E12)+SUMIFS(Deals!$O$2:$O$301,Deals!$H$2:$H$301,$B12,Deals!$Q$2:$Q$301,"&gt;="&amp;$D12,Deals!$Q$2:$Q$301,"&lt;="&amp;$E12))</f>
        <v/>
      </c>
      <c r="K12" s="17">
        <f>$I12-$J12</f>
        <v/>
      </c>
      <c r="L12" s="17">
        <f>IF($C12=1,$K12,$L11+$K12)</f>
        <v/>
      </c>
      <c r="M12" s="25">
        <f>IF($G12&gt;0,$L12/$G12,0)</f>
        <v/>
      </c>
      <c r="N12" s="17">
        <f>IF('Plan setup'!$B$10="",0,MAX(0,MIN(MAX($L12,0),IF('Plan setup'!$C$10="",9E+15,'Plan setup'!$C$10*$G12))-'Plan setup'!$B$10*$G12))</f>
        <v/>
      </c>
      <c r="O12" s="17">
        <f>IF('Plan setup'!$B$11="",0,MAX(0,MIN(MAX($L12,0),IF('Plan setup'!$C$11="",9E+15,'Plan setup'!$C$11*$G12))-'Plan setup'!$B$11*$G12))</f>
        <v/>
      </c>
      <c r="P12" s="17">
        <f>IF('Plan setup'!$B$12="",0,MAX(0,MIN(MAX($L12,0),IF('Plan setup'!$C$12="",9E+15,'Plan setup'!$C$12*$G12))-'Plan setup'!$B$12*$G12))</f>
        <v/>
      </c>
      <c r="Q12" s="17">
        <f>IF('Plan setup'!$B$13="",0,MAX(0,MIN(MAX($L12,0),IF('Plan setup'!$C$13="",9E+15,'Plan setup'!$C$13*$G12))-'Plan setup'!$B$13*$G12))</f>
        <v/>
      </c>
      <c r="R12" s="17">
        <f>$H12*($N12*N('Plan setup'!$D$10)+$O12*N('Plan setup'!$D$11)+$P12*N('Plan setup'!$D$12)+$Q12*N('Plan setup'!$D$13))</f>
        <v/>
      </c>
      <c r="S12" s="17">
        <f>IF($C12=1,0,$U11)</f>
        <v/>
      </c>
      <c r="T12" s="17">
        <f>MAX(0,$R12-$S12)</f>
        <v/>
      </c>
      <c r="U12" s="17">
        <f>$S12+$T12</f>
        <v/>
      </c>
      <c r="V12" s="17">
        <f>MAX(0,$U12-$R12)</f>
        <v/>
      </c>
      <c r="W12">
        <f>IF($B12="","",IF($L12&lt;=0,"Tier 1","Tier "&amp;COUNTIF('Plan setup'!$B$10:$B$13,"&lt;="&amp;$M12)))</f>
        <v/>
      </c>
      <c r="X12" s="16">
        <f>IF($L12&gt;0,$R12/$L12,0)</f>
        <v/>
      </c>
    </row>
    <row r="13">
      <c r="A13">
        <f>INT((ROW()-2)/12)+1</f>
        <v/>
      </c>
      <c r="B13">
        <f>IF(INDEX('Plan setup'!$A$25:$A$34,$A13)="","",INDEX('Plan setup'!$A$25:$A$34,$A13))</f>
        <v/>
      </c>
      <c r="C13">
        <f>MOD(ROW()-2,12)+1</f>
        <v/>
      </c>
      <c r="D13" s="24">
        <f>EDATE('Plan setup'!$B$3,$C13-1)</f>
        <v/>
      </c>
      <c r="E13" s="24">
        <f>EDATE('Plan setup'!$B$3,$C13)-1</f>
        <v/>
      </c>
      <c r="F13">
        <f>$B13&amp;"|"&amp;$C13</f>
        <v/>
      </c>
      <c r="G13" s="17">
        <f>IF($B13="",0,IFERROR(INDEX('Plan setup'!$C$25:$C$34,$A13)*1,0))</f>
        <v/>
      </c>
      <c r="H13" s="16">
        <f>IF($B13="",0,IFERROR(INDEX('Plan setup'!$E$25:$E$34,$A13)*1,0))</f>
        <v/>
      </c>
      <c r="I13" s="17">
        <f>IF($B13="",0,SUMIFS(Deals!$N$2:$N$301,Deals!$F$2:$F$301,$B13,Deals!$B$2:$B$301,"&gt;="&amp;$D13,Deals!$B$2:$B$301,"&lt;="&amp;$E13)+SUMIFS(Deals!$O$2:$O$301,Deals!$H$2:$H$301,$B13,Deals!$B$2:$B$301,"&gt;="&amp;$D13,Deals!$B$2:$B$301,"&lt;="&amp;$E13))</f>
        <v/>
      </c>
      <c r="J13" s="17">
        <f>IF($B13="",0,SUMIFS(Deals!$N$2:$N$301,Deals!$F$2:$F$301,$B13,Deals!$Q$2:$Q$301,"&gt;="&amp;$D13,Deals!$Q$2:$Q$301,"&lt;="&amp;$E13)+SUMIFS(Deals!$O$2:$O$301,Deals!$H$2:$H$301,$B13,Deals!$Q$2:$Q$301,"&gt;="&amp;$D13,Deals!$Q$2:$Q$301,"&lt;="&amp;$E13))</f>
        <v/>
      </c>
      <c r="K13" s="17">
        <f>$I13-$J13</f>
        <v/>
      </c>
      <c r="L13" s="17">
        <f>IF($C13=1,$K13,$L12+$K13)</f>
        <v/>
      </c>
      <c r="M13" s="25">
        <f>IF($G13&gt;0,$L13/$G13,0)</f>
        <v/>
      </c>
      <c r="N13" s="17">
        <f>IF('Plan setup'!$B$10="",0,MAX(0,MIN(MAX($L13,0),IF('Plan setup'!$C$10="",9E+15,'Plan setup'!$C$10*$G13))-'Plan setup'!$B$10*$G13))</f>
        <v/>
      </c>
      <c r="O13" s="17">
        <f>IF('Plan setup'!$B$11="",0,MAX(0,MIN(MAX($L13,0),IF('Plan setup'!$C$11="",9E+15,'Plan setup'!$C$11*$G13))-'Plan setup'!$B$11*$G13))</f>
        <v/>
      </c>
      <c r="P13" s="17">
        <f>IF('Plan setup'!$B$12="",0,MAX(0,MIN(MAX($L13,0),IF('Plan setup'!$C$12="",9E+15,'Plan setup'!$C$12*$G13))-'Plan setup'!$B$12*$G13))</f>
        <v/>
      </c>
      <c r="Q13" s="17">
        <f>IF('Plan setup'!$B$13="",0,MAX(0,MIN(MAX($L13,0),IF('Plan setup'!$C$13="",9E+15,'Plan setup'!$C$13*$G13))-'Plan setup'!$B$13*$G13))</f>
        <v/>
      </c>
      <c r="R13" s="17">
        <f>$H13*($N13*N('Plan setup'!$D$10)+$O13*N('Plan setup'!$D$11)+$P13*N('Plan setup'!$D$12)+$Q13*N('Plan setup'!$D$13))</f>
        <v/>
      </c>
      <c r="S13" s="17">
        <f>IF($C13=1,0,$U12)</f>
        <v/>
      </c>
      <c r="T13" s="17">
        <f>MAX(0,$R13-$S13)</f>
        <v/>
      </c>
      <c r="U13" s="17">
        <f>$S13+$T13</f>
        <v/>
      </c>
      <c r="V13" s="17">
        <f>MAX(0,$U13-$R13)</f>
        <v/>
      </c>
      <c r="W13">
        <f>IF($B13="","",IF($L13&lt;=0,"Tier 1","Tier "&amp;COUNTIF('Plan setup'!$B$10:$B$13,"&lt;="&amp;$M13)))</f>
        <v/>
      </c>
      <c r="X13" s="16">
        <f>IF($L13&gt;0,$R13/$L13,0)</f>
        <v/>
      </c>
    </row>
    <row r="14">
      <c r="A14">
        <f>INT((ROW()-2)/12)+1</f>
        <v/>
      </c>
      <c r="B14">
        <f>IF(INDEX('Plan setup'!$A$25:$A$34,$A14)="","",INDEX('Plan setup'!$A$25:$A$34,$A14))</f>
        <v/>
      </c>
      <c r="C14">
        <f>MOD(ROW()-2,12)+1</f>
        <v/>
      </c>
      <c r="D14" s="24">
        <f>EDATE('Plan setup'!$B$3,$C14-1)</f>
        <v/>
      </c>
      <c r="E14" s="24">
        <f>EDATE('Plan setup'!$B$3,$C14)-1</f>
        <v/>
      </c>
      <c r="F14">
        <f>$B14&amp;"|"&amp;$C14</f>
        <v/>
      </c>
      <c r="G14" s="17">
        <f>IF($B14="",0,IFERROR(INDEX('Plan setup'!$C$25:$C$34,$A14)*1,0))</f>
        <v/>
      </c>
      <c r="H14" s="16">
        <f>IF($B14="",0,IFERROR(INDEX('Plan setup'!$E$25:$E$34,$A14)*1,0))</f>
        <v/>
      </c>
      <c r="I14" s="17">
        <f>IF($B14="",0,SUMIFS(Deals!$N$2:$N$301,Deals!$F$2:$F$301,$B14,Deals!$B$2:$B$301,"&gt;="&amp;$D14,Deals!$B$2:$B$301,"&lt;="&amp;$E14)+SUMIFS(Deals!$O$2:$O$301,Deals!$H$2:$H$301,$B14,Deals!$B$2:$B$301,"&gt;="&amp;$D14,Deals!$B$2:$B$301,"&lt;="&amp;$E14))</f>
        <v/>
      </c>
      <c r="J14" s="17">
        <f>IF($B14="",0,SUMIFS(Deals!$N$2:$N$301,Deals!$F$2:$F$301,$B14,Deals!$Q$2:$Q$301,"&gt;="&amp;$D14,Deals!$Q$2:$Q$301,"&lt;="&amp;$E14)+SUMIFS(Deals!$O$2:$O$301,Deals!$H$2:$H$301,$B14,Deals!$Q$2:$Q$301,"&gt;="&amp;$D14,Deals!$Q$2:$Q$301,"&lt;="&amp;$E14))</f>
        <v/>
      </c>
      <c r="K14" s="17">
        <f>$I14-$J14</f>
        <v/>
      </c>
      <c r="L14" s="17">
        <f>IF($C14=1,$K14,$L13+$K14)</f>
        <v/>
      </c>
      <c r="M14" s="25">
        <f>IF($G14&gt;0,$L14/$G14,0)</f>
        <v/>
      </c>
      <c r="N14" s="17">
        <f>IF('Plan setup'!$B$10="",0,MAX(0,MIN(MAX($L14,0),IF('Plan setup'!$C$10="",9E+15,'Plan setup'!$C$10*$G14))-'Plan setup'!$B$10*$G14))</f>
        <v/>
      </c>
      <c r="O14" s="17">
        <f>IF('Plan setup'!$B$11="",0,MAX(0,MIN(MAX($L14,0),IF('Plan setup'!$C$11="",9E+15,'Plan setup'!$C$11*$G14))-'Plan setup'!$B$11*$G14))</f>
        <v/>
      </c>
      <c r="P14" s="17">
        <f>IF('Plan setup'!$B$12="",0,MAX(0,MIN(MAX($L14,0),IF('Plan setup'!$C$12="",9E+15,'Plan setup'!$C$12*$G14))-'Plan setup'!$B$12*$G14))</f>
        <v/>
      </c>
      <c r="Q14" s="17">
        <f>IF('Plan setup'!$B$13="",0,MAX(0,MIN(MAX($L14,0),IF('Plan setup'!$C$13="",9E+15,'Plan setup'!$C$13*$G14))-'Plan setup'!$B$13*$G14))</f>
        <v/>
      </c>
      <c r="R14" s="17">
        <f>$H14*($N14*N('Plan setup'!$D$10)+$O14*N('Plan setup'!$D$11)+$P14*N('Plan setup'!$D$12)+$Q14*N('Plan setup'!$D$13))</f>
        <v/>
      </c>
      <c r="S14" s="17">
        <f>IF($C14=1,0,$U13)</f>
        <v/>
      </c>
      <c r="T14" s="17">
        <f>MAX(0,$R14-$S14)</f>
        <v/>
      </c>
      <c r="U14" s="17">
        <f>$S14+$T14</f>
        <v/>
      </c>
      <c r="V14" s="17">
        <f>MAX(0,$U14-$R14)</f>
        <v/>
      </c>
      <c r="W14">
        <f>IF($B14="","",IF($L14&lt;=0,"Tier 1","Tier "&amp;COUNTIF('Plan setup'!$B$10:$B$13,"&lt;="&amp;$M14)))</f>
        <v/>
      </c>
      <c r="X14" s="16">
        <f>IF($L14&gt;0,$R14/$L14,0)</f>
        <v/>
      </c>
    </row>
    <row r="15">
      <c r="A15">
        <f>INT((ROW()-2)/12)+1</f>
        <v/>
      </c>
      <c r="B15">
        <f>IF(INDEX('Plan setup'!$A$25:$A$34,$A15)="","",INDEX('Plan setup'!$A$25:$A$34,$A15))</f>
        <v/>
      </c>
      <c r="C15">
        <f>MOD(ROW()-2,12)+1</f>
        <v/>
      </c>
      <c r="D15" s="24">
        <f>EDATE('Plan setup'!$B$3,$C15-1)</f>
        <v/>
      </c>
      <c r="E15" s="24">
        <f>EDATE('Plan setup'!$B$3,$C15)-1</f>
        <v/>
      </c>
      <c r="F15">
        <f>$B15&amp;"|"&amp;$C15</f>
        <v/>
      </c>
      <c r="G15" s="17">
        <f>IF($B15="",0,IFERROR(INDEX('Plan setup'!$C$25:$C$34,$A15)*1,0))</f>
        <v/>
      </c>
      <c r="H15" s="16">
        <f>IF($B15="",0,IFERROR(INDEX('Plan setup'!$E$25:$E$34,$A15)*1,0))</f>
        <v/>
      </c>
      <c r="I15" s="17">
        <f>IF($B15="",0,SUMIFS(Deals!$N$2:$N$301,Deals!$F$2:$F$301,$B15,Deals!$B$2:$B$301,"&gt;="&amp;$D15,Deals!$B$2:$B$301,"&lt;="&amp;$E15)+SUMIFS(Deals!$O$2:$O$301,Deals!$H$2:$H$301,$B15,Deals!$B$2:$B$301,"&gt;="&amp;$D15,Deals!$B$2:$B$301,"&lt;="&amp;$E15))</f>
        <v/>
      </c>
      <c r="J15" s="17">
        <f>IF($B15="",0,SUMIFS(Deals!$N$2:$N$301,Deals!$F$2:$F$301,$B15,Deals!$Q$2:$Q$301,"&gt;="&amp;$D15,Deals!$Q$2:$Q$301,"&lt;="&amp;$E15)+SUMIFS(Deals!$O$2:$O$301,Deals!$H$2:$H$301,$B15,Deals!$Q$2:$Q$301,"&gt;="&amp;$D15,Deals!$Q$2:$Q$301,"&lt;="&amp;$E15))</f>
        <v/>
      </c>
      <c r="K15" s="17">
        <f>$I15-$J15</f>
        <v/>
      </c>
      <c r="L15" s="17">
        <f>IF($C15=1,$K15,$L14+$K15)</f>
        <v/>
      </c>
      <c r="M15" s="25">
        <f>IF($G15&gt;0,$L15/$G15,0)</f>
        <v/>
      </c>
      <c r="N15" s="17">
        <f>IF('Plan setup'!$B$10="",0,MAX(0,MIN(MAX($L15,0),IF('Plan setup'!$C$10="",9E+15,'Plan setup'!$C$10*$G15))-'Plan setup'!$B$10*$G15))</f>
        <v/>
      </c>
      <c r="O15" s="17">
        <f>IF('Plan setup'!$B$11="",0,MAX(0,MIN(MAX($L15,0),IF('Plan setup'!$C$11="",9E+15,'Plan setup'!$C$11*$G15))-'Plan setup'!$B$11*$G15))</f>
        <v/>
      </c>
      <c r="P15" s="17">
        <f>IF('Plan setup'!$B$12="",0,MAX(0,MIN(MAX($L15,0),IF('Plan setup'!$C$12="",9E+15,'Plan setup'!$C$12*$G15))-'Plan setup'!$B$12*$G15))</f>
        <v/>
      </c>
      <c r="Q15" s="17">
        <f>IF('Plan setup'!$B$13="",0,MAX(0,MIN(MAX($L15,0),IF('Plan setup'!$C$13="",9E+15,'Plan setup'!$C$13*$G15))-'Plan setup'!$B$13*$G15))</f>
        <v/>
      </c>
      <c r="R15" s="17">
        <f>$H15*($N15*N('Plan setup'!$D$10)+$O15*N('Plan setup'!$D$11)+$P15*N('Plan setup'!$D$12)+$Q15*N('Plan setup'!$D$13))</f>
        <v/>
      </c>
      <c r="S15" s="17">
        <f>IF($C15=1,0,$U14)</f>
        <v/>
      </c>
      <c r="T15" s="17">
        <f>MAX(0,$R15-$S15)</f>
        <v/>
      </c>
      <c r="U15" s="17">
        <f>$S15+$T15</f>
        <v/>
      </c>
      <c r="V15" s="17">
        <f>MAX(0,$U15-$R15)</f>
        <v/>
      </c>
      <c r="W15">
        <f>IF($B15="","",IF($L15&lt;=0,"Tier 1","Tier "&amp;COUNTIF('Plan setup'!$B$10:$B$13,"&lt;="&amp;$M15)))</f>
        <v/>
      </c>
      <c r="X15" s="16">
        <f>IF($L15&gt;0,$R15/$L15,0)</f>
        <v/>
      </c>
    </row>
    <row r="16">
      <c r="A16">
        <f>INT((ROW()-2)/12)+1</f>
        <v/>
      </c>
      <c r="B16">
        <f>IF(INDEX('Plan setup'!$A$25:$A$34,$A16)="","",INDEX('Plan setup'!$A$25:$A$34,$A16))</f>
        <v/>
      </c>
      <c r="C16">
        <f>MOD(ROW()-2,12)+1</f>
        <v/>
      </c>
      <c r="D16" s="24">
        <f>EDATE('Plan setup'!$B$3,$C16-1)</f>
        <v/>
      </c>
      <c r="E16" s="24">
        <f>EDATE('Plan setup'!$B$3,$C16)-1</f>
        <v/>
      </c>
      <c r="F16">
        <f>$B16&amp;"|"&amp;$C16</f>
        <v/>
      </c>
      <c r="G16" s="17">
        <f>IF($B16="",0,IFERROR(INDEX('Plan setup'!$C$25:$C$34,$A16)*1,0))</f>
        <v/>
      </c>
      <c r="H16" s="16">
        <f>IF($B16="",0,IFERROR(INDEX('Plan setup'!$E$25:$E$34,$A16)*1,0))</f>
        <v/>
      </c>
      <c r="I16" s="17">
        <f>IF($B16="",0,SUMIFS(Deals!$N$2:$N$301,Deals!$F$2:$F$301,$B16,Deals!$B$2:$B$301,"&gt;="&amp;$D16,Deals!$B$2:$B$301,"&lt;="&amp;$E16)+SUMIFS(Deals!$O$2:$O$301,Deals!$H$2:$H$301,$B16,Deals!$B$2:$B$301,"&gt;="&amp;$D16,Deals!$B$2:$B$301,"&lt;="&amp;$E16))</f>
        <v/>
      </c>
      <c r="J16" s="17">
        <f>IF($B16="",0,SUMIFS(Deals!$N$2:$N$301,Deals!$F$2:$F$301,$B16,Deals!$Q$2:$Q$301,"&gt;="&amp;$D16,Deals!$Q$2:$Q$301,"&lt;="&amp;$E16)+SUMIFS(Deals!$O$2:$O$301,Deals!$H$2:$H$301,$B16,Deals!$Q$2:$Q$301,"&gt;="&amp;$D16,Deals!$Q$2:$Q$301,"&lt;="&amp;$E16))</f>
        <v/>
      </c>
      <c r="K16" s="17">
        <f>$I16-$J16</f>
        <v/>
      </c>
      <c r="L16" s="17">
        <f>IF($C16=1,$K16,$L15+$K16)</f>
        <v/>
      </c>
      <c r="M16" s="25">
        <f>IF($G16&gt;0,$L16/$G16,0)</f>
        <v/>
      </c>
      <c r="N16" s="17">
        <f>IF('Plan setup'!$B$10="",0,MAX(0,MIN(MAX($L16,0),IF('Plan setup'!$C$10="",9E+15,'Plan setup'!$C$10*$G16))-'Plan setup'!$B$10*$G16))</f>
        <v/>
      </c>
      <c r="O16" s="17">
        <f>IF('Plan setup'!$B$11="",0,MAX(0,MIN(MAX($L16,0),IF('Plan setup'!$C$11="",9E+15,'Plan setup'!$C$11*$G16))-'Plan setup'!$B$11*$G16))</f>
        <v/>
      </c>
      <c r="P16" s="17">
        <f>IF('Plan setup'!$B$12="",0,MAX(0,MIN(MAX($L16,0),IF('Plan setup'!$C$12="",9E+15,'Plan setup'!$C$12*$G16))-'Plan setup'!$B$12*$G16))</f>
        <v/>
      </c>
      <c r="Q16" s="17">
        <f>IF('Plan setup'!$B$13="",0,MAX(0,MIN(MAX($L16,0),IF('Plan setup'!$C$13="",9E+15,'Plan setup'!$C$13*$G16))-'Plan setup'!$B$13*$G16))</f>
        <v/>
      </c>
      <c r="R16" s="17">
        <f>$H16*($N16*N('Plan setup'!$D$10)+$O16*N('Plan setup'!$D$11)+$P16*N('Plan setup'!$D$12)+$Q16*N('Plan setup'!$D$13))</f>
        <v/>
      </c>
      <c r="S16" s="17">
        <f>IF($C16=1,0,$U15)</f>
        <v/>
      </c>
      <c r="T16" s="17">
        <f>MAX(0,$R16-$S16)</f>
        <v/>
      </c>
      <c r="U16" s="17">
        <f>$S16+$T16</f>
        <v/>
      </c>
      <c r="V16" s="17">
        <f>MAX(0,$U16-$R16)</f>
        <v/>
      </c>
      <c r="W16">
        <f>IF($B16="","",IF($L16&lt;=0,"Tier 1","Tier "&amp;COUNTIF('Plan setup'!$B$10:$B$13,"&lt;="&amp;$M16)))</f>
        <v/>
      </c>
      <c r="X16" s="16">
        <f>IF($L16&gt;0,$R16/$L16,0)</f>
        <v/>
      </c>
    </row>
    <row r="17">
      <c r="A17">
        <f>INT((ROW()-2)/12)+1</f>
        <v/>
      </c>
      <c r="B17">
        <f>IF(INDEX('Plan setup'!$A$25:$A$34,$A17)="","",INDEX('Plan setup'!$A$25:$A$34,$A17))</f>
        <v/>
      </c>
      <c r="C17">
        <f>MOD(ROW()-2,12)+1</f>
        <v/>
      </c>
      <c r="D17" s="24">
        <f>EDATE('Plan setup'!$B$3,$C17-1)</f>
        <v/>
      </c>
      <c r="E17" s="24">
        <f>EDATE('Plan setup'!$B$3,$C17)-1</f>
        <v/>
      </c>
      <c r="F17">
        <f>$B17&amp;"|"&amp;$C17</f>
        <v/>
      </c>
      <c r="G17" s="17">
        <f>IF($B17="",0,IFERROR(INDEX('Plan setup'!$C$25:$C$34,$A17)*1,0))</f>
        <v/>
      </c>
      <c r="H17" s="16">
        <f>IF($B17="",0,IFERROR(INDEX('Plan setup'!$E$25:$E$34,$A17)*1,0))</f>
        <v/>
      </c>
      <c r="I17" s="17">
        <f>IF($B17="",0,SUMIFS(Deals!$N$2:$N$301,Deals!$F$2:$F$301,$B17,Deals!$B$2:$B$301,"&gt;="&amp;$D17,Deals!$B$2:$B$301,"&lt;="&amp;$E17)+SUMIFS(Deals!$O$2:$O$301,Deals!$H$2:$H$301,$B17,Deals!$B$2:$B$301,"&gt;="&amp;$D17,Deals!$B$2:$B$301,"&lt;="&amp;$E17))</f>
        <v/>
      </c>
      <c r="J17" s="17">
        <f>IF($B17="",0,SUMIFS(Deals!$N$2:$N$301,Deals!$F$2:$F$301,$B17,Deals!$Q$2:$Q$301,"&gt;="&amp;$D17,Deals!$Q$2:$Q$301,"&lt;="&amp;$E17)+SUMIFS(Deals!$O$2:$O$301,Deals!$H$2:$H$301,$B17,Deals!$Q$2:$Q$301,"&gt;="&amp;$D17,Deals!$Q$2:$Q$301,"&lt;="&amp;$E17))</f>
        <v/>
      </c>
      <c r="K17" s="17">
        <f>$I17-$J17</f>
        <v/>
      </c>
      <c r="L17" s="17">
        <f>IF($C17=1,$K17,$L16+$K17)</f>
        <v/>
      </c>
      <c r="M17" s="25">
        <f>IF($G17&gt;0,$L17/$G17,0)</f>
        <v/>
      </c>
      <c r="N17" s="17">
        <f>IF('Plan setup'!$B$10="",0,MAX(0,MIN(MAX($L17,0),IF('Plan setup'!$C$10="",9E+15,'Plan setup'!$C$10*$G17))-'Plan setup'!$B$10*$G17))</f>
        <v/>
      </c>
      <c r="O17" s="17">
        <f>IF('Plan setup'!$B$11="",0,MAX(0,MIN(MAX($L17,0),IF('Plan setup'!$C$11="",9E+15,'Plan setup'!$C$11*$G17))-'Plan setup'!$B$11*$G17))</f>
        <v/>
      </c>
      <c r="P17" s="17">
        <f>IF('Plan setup'!$B$12="",0,MAX(0,MIN(MAX($L17,0),IF('Plan setup'!$C$12="",9E+15,'Plan setup'!$C$12*$G17))-'Plan setup'!$B$12*$G17))</f>
        <v/>
      </c>
      <c r="Q17" s="17">
        <f>IF('Plan setup'!$B$13="",0,MAX(0,MIN(MAX($L17,0),IF('Plan setup'!$C$13="",9E+15,'Plan setup'!$C$13*$G17))-'Plan setup'!$B$13*$G17))</f>
        <v/>
      </c>
      <c r="R17" s="17">
        <f>$H17*($N17*N('Plan setup'!$D$10)+$O17*N('Plan setup'!$D$11)+$P17*N('Plan setup'!$D$12)+$Q17*N('Plan setup'!$D$13))</f>
        <v/>
      </c>
      <c r="S17" s="17">
        <f>IF($C17=1,0,$U16)</f>
        <v/>
      </c>
      <c r="T17" s="17">
        <f>MAX(0,$R17-$S17)</f>
        <v/>
      </c>
      <c r="U17" s="17">
        <f>$S17+$T17</f>
        <v/>
      </c>
      <c r="V17" s="17">
        <f>MAX(0,$U17-$R17)</f>
        <v/>
      </c>
      <c r="W17">
        <f>IF($B17="","",IF($L17&lt;=0,"Tier 1","Tier "&amp;COUNTIF('Plan setup'!$B$10:$B$13,"&lt;="&amp;$M17)))</f>
        <v/>
      </c>
      <c r="X17" s="16">
        <f>IF($L17&gt;0,$R17/$L17,0)</f>
        <v/>
      </c>
    </row>
    <row r="18">
      <c r="A18">
        <f>INT((ROW()-2)/12)+1</f>
        <v/>
      </c>
      <c r="B18">
        <f>IF(INDEX('Plan setup'!$A$25:$A$34,$A18)="","",INDEX('Plan setup'!$A$25:$A$34,$A18))</f>
        <v/>
      </c>
      <c r="C18">
        <f>MOD(ROW()-2,12)+1</f>
        <v/>
      </c>
      <c r="D18" s="24">
        <f>EDATE('Plan setup'!$B$3,$C18-1)</f>
        <v/>
      </c>
      <c r="E18" s="24">
        <f>EDATE('Plan setup'!$B$3,$C18)-1</f>
        <v/>
      </c>
      <c r="F18">
        <f>$B18&amp;"|"&amp;$C18</f>
        <v/>
      </c>
      <c r="G18" s="17">
        <f>IF($B18="",0,IFERROR(INDEX('Plan setup'!$C$25:$C$34,$A18)*1,0))</f>
        <v/>
      </c>
      <c r="H18" s="16">
        <f>IF($B18="",0,IFERROR(INDEX('Plan setup'!$E$25:$E$34,$A18)*1,0))</f>
        <v/>
      </c>
      <c r="I18" s="17">
        <f>IF($B18="",0,SUMIFS(Deals!$N$2:$N$301,Deals!$F$2:$F$301,$B18,Deals!$B$2:$B$301,"&gt;="&amp;$D18,Deals!$B$2:$B$301,"&lt;="&amp;$E18)+SUMIFS(Deals!$O$2:$O$301,Deals!$H$2:$H$301,$B18,Deals!$B$2:$B$301,"&gt;="&amp;$D18,Deals!$B$2:$B$301,"&lt;="&amp;$E18))</f>
        <v/>
      </c>
      <c r="J18" s="17">
        <f>IF($B18="",0,SUMIFS(Deals!$N$2:$N$301,Deals!$F$2:$F$301,$B18,Deals!$Q$2:$Q$301,"&gt;="&amp;$D18,Deals!$Q$2:$Q$301,"&lt;="&amp;$E18)+SUMIFS(Deals!$O$2:$O$301,Deals!$H$2:$H$301,$B18,Deals!$Q$2:$Q$301,"&gt;="&amp;$D18,Deals!$Q$2:$Q$301,"&lt;="&amp;$E18))</f>
        <v/>
      </c>
      <c r="K18" s="17">
        <f>$I18-$J18</f>
        <v/>
      </c>
      <c r="L18" s="17">
        <f>IF($C18=1,$K18,$L17+$K18)</f>
        <v/>
      </c>
      <c r="M18" s="25">
        <f>IF($G18&gt;0,$L18/$G18,0)</f>
        <v/>
      </c>
      <c r="N18" s="17">
        <f>IF('Plan setup'!$B$10="",0,MAX(0,MIN(MAX($L18,0),IF('Plan setup'!$C$10="",9E+15,'Plan setup'!$C$10*$G18))-'Plan setup'!$B$10*$G18))</f>
        <v/>
      </c>
      <c r="O18" s="17">
        <f>IF('Plan setup'!$B$11="",0,MAX(0,MIN(MAX($L18,0),IF('Plan setup'!$C$11="",9E+15,'Plan setup'!$C$11*$G18))-'Plan setup'!$B$11*$G18))</f>
        <v/>
      </c>
      <c r="P18" s="17">
        <f>IF('Plan setup'!$B$12="",0,MAX(0,MIN(MAX($L18,0),IF('Plan setup'!$C$12="",9E+15,'Plan setup'!$C$12*$G18))-'Plan setup'!$B$12*$G18))</f>
        <v/>
      </c>
      <c r="Q18" s="17">
        <f>IF('Plan setup'!$B$13="",0,MAX(0,MIN(MAX($L18,0),IF('Plan setup'!$C$13="",9E+15,'Plan setup'!$C$13*$G18))-'Plan setup'!$B$13*$G18))</f>
        <v/>
      </c>
      <c r="R18" s="17">
        <f>$H18*($N18*N('Plan setup'!$D$10)+$O18*N('Plan setup'!$D$11)+$P18*N('Plan setup'!$D$12)+$Q18*N('Plan setup'!$D$13))</f>
        <v/>
      </c>
      <c r="S18" s="17">
        <f>IF($C18=1,0,$U17)</f>
        <v/>
      </c>
      <c r="T18" s="17">
        <f>MAX(0,$R18-$S18)</f>
        <v/>
      </c>
      <c r="U18" s="17">
        <f>$S18+$T18</f>
        <v/>
      </c>
      <c r="V18" s="17">
        <f>MAX(0,$U18-$R18)</f>
        <v/>
      </c>
      <c r="W18">
        <f>IF($B18="","",IF($L18&lt;=0,"Tier 1","Tier "&amp;COUNTIF('Plan setup'!$B$10:$B$13,"&lt;="&amp;$M18)))</f>
        <v/>
      </c>
      <c r="X18" s="16">
        <f>IF($L18&gt;0,$R18/$L18,0)</f>
        <v/>
      </c>
    </row>
    <row r="19">
      <c r="A19">
        <f>INT((ROW()-2)/12)+1</f>
        <v/>
      </c>
      <c r="B19">
        <f>IF(INDEX('Plan setup'!$A$25:$A$34,$A19)="","",INDEX('Plan setup'!$A$25:$A$34,$A19))</f>
        <v/>
      </c>
      <c r="C19">
        <f>MOD(ROW()-2,12)+1</f>
        <v/>
      </c>
      <c r="D19" s="24">
        <f>EDATE('Plan setup'!$B$3,$C19-1)</f>
        <v/>
      </c>
      <c r="E19" s="24">
        <f>EDATE('Plan setup'!$B$3,$C19)-1</f>
        <v/>
      </c>
      <c r="F19">
        <f>$B19&amp;"|"&amp;$C19</f>
        <v/>
      </c>
      <c r="G19" s="17">
        <f>IF($B19="",0,IFERROR(INDEX('Plan setup'!$C$25:$C$34,$A19)*1,0))</f>
        <v/>
      </c>
      <c r="H19" s="16">
        <f>IF($B19="",0,IFERROR(INDEX('Plan setup'!$E$25:$E$34,$A19)*1,0))</f>
        <v/>
      </c>
      <c r="I19" s="17">
        <f>IF($B19="",0,SUMIFS(Deals!$N$2:$N$301,Deals!$F$2:$F$301,$B19,Deals!$B$2:$B$301,"&gt;="&amp;$D19,Deals!$B$2:$B$301,"&lt;="&amp;$E19)+SUMIFS(Deals!$O$2:$O$301,Deals!$H$2:$H$301,$B19,Deals!$B$2:$B$301,"&gt;="&amp;$D19,Deals!$B$2:$B$301,"&lt;="&amp;$E19))</f>
        <v/>
      </c>
      <c r="J19" s="17">
        <f>IF($B19="",0,SUMIFS(Deals!$N$2:$N$301,Deals!$F$2:$F$301,$B19,Deals!$Q$2:$Q$301,"&gt;="&amp;$D19,Deals!$Q$2:$Q$301,"&lt;="&amp;$E19)+SUMIFS(Deals!$O$2:$O$301,Deals!$H$2:$H$301,$B19,Deals!$Q$2:$Q$301,"&gt;="&amp;$D19,Deals!$Q$2:$Q$301,"&lt;="&amp;$E19))</f>
        <v/>
      </c>
      <c r="K19" s="17">
        <f>$I19-$J19</f>
        <v/>
      </c>
      <c r="L19" s="17">
        <f>IF($C19=1,$K19,$L18+$K19)</f>
        <v/>
      </c>
      <c r="M19" s="25">
        <f>IF($G19&gt;0,$L19/$G19,0)</f>
        <v/>
      </c>
      <c r="N19" s="17">
        <f>IF('Plan setup'!$B$10="",0,MAX(0,MIN(MAX($L19,0),IF('Plan setup'!$C$10="",9E+15,'Plan setup'!$C$10*$G19))-'Plan setup'!$B$10*$G19))</f>
        <v/>
      </c>
      <c r="O19" s="17">
        <f>IF('Plan setup'!$B$11="",0,MAX(0,MIN(MAX($L19,0),IF('Plan setup'!$C$11="",9E+15,'Plan setup'!$C$11*$G19))-'Plan setup'!$B$11*$G19))</f>
        <v/>
      </c>
      <c r="P19" s="17">
        <f>IF('Plan setup'!$B$12="",0,MAX(0,MIN(MAX($L19,0),IF('Plan setup'!$C$12="",9E+15,'Plan setup'!$C$12*$G19))-'Plan setup'!$B$12*$G19))</f>
        <v/>
      </c>
      <c r="Q19" s="17">
        <f>IF('Plan setup'!$B$13="",0,MAX(0,MIN(MAX($L19,0),IF('Plan setup'!$C$13="",9E+15,'Plan setup'!$C$13*$G19))-'Plan setup'!$B$13*$G19))</f>
        <v/>
      </c>
      <c r="R19" s="17">
        <f>$H19*($N19*N('Plan setup'!$D$10)+$O19*N('Plan setup'!$D$11)+$P19*N('Plan setup'!$D$12)+$Q19*N('Plan setup'!$D$13))</f>
        <v/>
      </c>
      <c r="S19" s="17">
        <f>IF($C19=1,0,$U18)</f>
        <v/>
      </c>
      <c r="T19" s="17">
        <f>MAX(0,$R19-$S19)</f>
        <v/>
      </c>
      <c r="U19" s="17">
        <f>$S19+$T19</f>
        <v/>
      </c>
      <c r="V19" s="17">
        <f>MAX(0,$U19-$R19)</f>
        <v/>
      </c>
      <c r="W19">
        <f>IF($B19="","",IF($L19&lt;=0,"Tier 1","Tier "&amp;COUNTIF('Plan setup'!$B$10:$B$13,"&lt;="&amp;$M19)))</f>
        <v/>
      </c>
      <c r="X19" s="16">
        <f>IF($L19&gt;0,$R19/$L19,0)</f>
        <v/>
      </c>
    </row>
    <row r="20">
      <c r="A20">
        <f>INT((ROW()-2)/12)+1</f>
        <v/>
      </c>
      <c r="B20">
        <f>IF(INDEX('Plan setup'!$A$25:$A$34,$A20)="","",INDEX('Plan setup'!$A$25:$A$34,$A20))</f>
        <v/>
      </c>
      <c r="C20">
        <f>MOD(ROW()-2,12)+1</f>
        <v/>
      </c>
      <c r="D20" s="24">
        <f>EDATE('Plan setup'!$B$3,$C20-1)</f>
        <v/>
      </c>
      <c r="E20" s="24">
        <f>EDATE('Plan setup'!$B$3,$C20)-1</f>
        <v/>
      </c>
      <c r="F20">
        <f>$B20&amp;"|"&amp;$C20</f>
        <v/>
      </c>
      <c r="G20" s="17">
        <f>IF($B20="",0,IFERROR(INDEX('Plan setup'!$C$25:$C$34,$A20)*1,0))</f>
        <v/>
      </c>
      <c r="H20" s="16">
        <f>IF($B20="",0,IFERROR(INDEX('Plan setup'!$E$25:$E$34,$A20)*1,0))</f>
        <v/>
      </c>
      <c r="I20" s="17">
        <f>IF($B20="",0,SUMIFS(Deals!$N$2:$N$301,Deals!$F$2:$F$301,$B20,Deals!$B$2:$B$301,"&gt;="&amp;$D20,Deals!$B$2:$B$301,"&lt;="&amp;$E20)+SUMIFS(Deals!$O$2:$O$301,Deals!$H$2:$H$301,$B20,Deals!$B$2:$B$301,"&gt;="&amp;$D20,Deals!$B$2:$B$301,"&lt;="&amp;$E20))</f>
        <v/>
      </c>
      <c r="J20" s="17">
        <f>IF($B20="",0,SUMIFS(Deals!$N$2:$N$301,Deals!$F$2:$F$301,$B20,Deals!$Q$2:$Q$301,"&gt;="&amp;$D20,Deals!$Q$2:$Q$301,"&lt;="&amp;$E20)+SUMIFS(Deals!$O$2:$O$301,Deals!$H$2:$H$301,$B20,Deals!$Q$2:$Q$301,"&gt;="&amp;$D20,Deals!$Q$2:$Q$301,"&lt;="&amp;$E20))</f>
        <v/>
      </c>
      <c r="K20" s="17">
        <f>$I20-$J20</f>
        <v/>
      </c>
      <c r="L20" s="17">
        <f>IF($C20=1,$K20,$L19+$K20)</f>
        <v/>
      </c>
      <c r="M20" s="25">
        <f>IF($G20&gt;0,$L20/$G20,0)</f>
        <v/>
      </c>
      <c r="N20" s="17">
        <f>IF('Plan setup'!$B$10="",0,MAX(0,MIN(MAX($L20,0),IF('Plan setup'!$C$10="",9E+15,'Plan setup'!$C$10*$G20))-'Plan setup'!$B$10*$G20))</f>
        <v/>
      </c>
      <c r="O20" s="17">
        <f>IF('Plan setup'!$B$11="",0,MAX(0,MIN(MAX($L20,0),IF('Plan setup'!$C$11="",9E+15,'Plan setup'!$C$11*$G20))-'Plan setup'!$B$11*$G20))</f>
        <v/>
      </c>
      <c r="P20" s="17">
        <f>IF('Plan setup'!$B$12="",0,MAX(0,MIN(MAX($L20,0),IF('Plan setup'!$C$12="",9E+15,'Plan setup'!$C$12*$G20))-'Plan setup'!$B$12*$G20))</f>
        <v/>
      </c>
      <c r="Q20" s="17">
        <f>IF('Plan setup'!$B$13="",0,MAX(0,MIN(MAX($L20,0),IF('Plan setup'!$C$13="",9E+15,'Plan setup'!$C$13*$G20))-'Plan setup'!$B$13*$G20))</f>
        <v/>
      </c>
      <c r="R20" s="17">
        <f>$H20*($N20*N('Plan setup'!$D$10)+$O20*N('Plan setup'!$D$11)+$P20*N('Plan setup'!$D$12)+$Q20*N('Plan setup'!$D$13))</f>
        <v/>
      </c>
      <c r="S20" s="17">
        <f>IF($C20=1,0,$U19)</f>
        <v/>
      </c>
      <c r="T20" s="17">
        <f>MAX(0,$R20-$S20)</f>
        <v/>
      </c>
      <c r="U20" s="17">
        <f>$S20+$T20</f>
        <v/>
      </c>
      <c r="V20" s="17">
        <f>MAX(0,$U20-$R20)</f>
        <v/>
      </c>
      <c r="W20">
        <f>IF($B20="","",IF($L20&lt;=0,"Tier 1","Tier "&amp;COUNTIF('Plan setup'!$B$10:$B$13,"&lt;="&amp;$M20)))</f>
        <v/>
      </c>
      <c r="X20" s="16">
        <f>IF($L20&gt;0,$R20/$L20,0)</f>
        <v/>
      </c>
    </row>
    <row r="21">
      <c r="A21">
        <f>INT((ROW()-2)/12)+1</f>
        <v/>
      </c>
      <c r="B21">
        <f>IF(INDEX('Plan setup'!$A$25:$A$34,$A21)="","",INDEX('Plan setup'!$A$25:$A$34,$A21))</f>
        <v/>
      </c>
      <c r="C21">
        <f>MOD(ROW()-2,12)+1</f>
        <v/>
      </c>
      <c r="D21" s="24">
        <f>EDATE('Plan setup'!$B$3,$C21-1)</f>
        <v/>
      </c>
      <c r="E21" s="24">
        <f>EDATE('Plan setup'!$B$3,$C21)-1</f>
        <v/>
      </c>
      <c r="F21">
        <f>$B21&amp;"|"&amp;$C21</f>
        <v/>
      </c>
      <c r="G21" s="17">
        <f>IF($B21="",0,IFERROR(INDEX('Plan setup'!$C$25:$C$34,$A21)*1,0))</f>
        <v/>
      </c>
      <c r="H21" s="16">
        <f>IF($B21="",0,IFERROR(INDEX('Plan setup'!$E$25:$E$34,$A21)*1,0))</f>
        <v/>
      </c>
      <c r="I21" s="17">
        <f>IF($B21="",0,SUMIFS(Deals!$N$2:$N$301,Deals!$F$2:$F$301,$B21,Deals!$B$2:$B$301,"&gt;="&amp;$D21,Deals!$B$2:$B$301,"&lt;="&amp;$E21)+SUMIFS(Deals!$O$2:$O$301,Deals!$H$2:$H$301,$B21,Deals!$B$2:$B$301,"&gt;="&amp;$D21,Deals!$B$2:$B$301,"&lt;="&amp;$E21))</f>
        <v/>
      </c>
      <c r="J21" s="17">
        <f>IF($B21="",0,SUMIFS(Deals!$N$2:$N$301,Deals!$F$2:$F$301,$B21,Deals!$Q$2:$Q$301,"&gt;="&amp;$D21,Deals!$Q$2:$Q$301,"&lt;="&amp;$E21)+SUMIFS(Deals!$O$2:$O$301,Deals!$H$2:$H$301,$B21,Deals!$Q$2:$Q$301,"&gt;="&amp;$D21,Deals!$Q$2:$Q$301,"&lt;="&amp;$E21))</f>
        <v/>
      </c>
      <c r="K21" s="17">
        <f>$I21-$J21</f>
        <v/>
      </c>
      <c r="L21" s="17">
        <f>IF($C21=1,$K21,$L20+$K21)</f>
        <v/>
      </c>
      <c r="M21" s="25">
        <f>IF($G21&gt;0,$L21/$G21,0)</f>
        <v/>
      </c>
      <c r="N21" s="17">
        <f>IF('Plan setup'!$B$10="",0,MAX(0,MIN(MAX($L21,0),IF('Plan setup'!$C$10="",9E+15,'Plan setup'!$C$10*$G21))-'Plan setup'!$B$10*$G21))</f>
        <v/>
      </c>
      <c r="O21" s="17">
        <f>IF('Plan setup'!$B$11="",0,MAX(0,MIN(MAX($L21,0),IF('Plan setup'!$C$11="",9E+15,'Plan setup'!$C$11*$G21))-'Plan setup'!$B$11*$G21))</f>
        <v/>
      </c>
      <c r="P21" s="17">
        <f>IF('Plan setup'!$B$12="",0,MAX(0,MIN(MAX($L21,0),IF('Plan setup'!$C$12="",9E+15,'Plan setup'!$C$12*$G21))-'Plan setup'!$B$12*$G21))</f>
        <v/>
      </c>
      <c r="Q21" s="17">
        <f>IF('Plan setup'!$B$13="",0,MAX(0,MIN(MAX($L21,0),IF('Plan setup'!$C$13="",9E+15,'Plan setup'!$C$13*$G21))-'Plan setup'!$B$13*$G21))</f>
        <v/>
      </c>
      <c r="R21" s="17">
        <f>$H21*($N21*N('Plan setup'!$D$10)+$O21*N('Plan setup'!$D$11)+$P21*N('Plan setup'!$D$12)+$Q21*N('Plan setup'!$D$13))</f>
        <v/>
      </c>
      <c r="S21" s="17">
        <f>IF($C21=1,0,$U20)</f>
        <v/>
      </c>
      <c r="T21" s="17">
        <f>MAX(0,$R21-$S21)</f>
        <v/>
      </c>
      <c r="U21" s="17">
        <f>$S21+$T21</f>
        <v/>
      </c>
      <c r="V21" s="17">
        <f>MAX(0,$U21-$R21)</f>
        <v/>
      </c>
      <c r="W21">
        <f>IF($B21="","",IF($L21&lt;=0,"Tier 1","Tier "&amp;COUNTIF('Plan setup'!$B$10:$B$13,"&lt;="&amp;$M21)))</f>
        <v/>
      </c>
      <c r="X21" s="16">
        <f>IF($L21&gt;0,$R21/$L21,0)</f>
        <v/>
      </c>
    </row>
    <row r="22">
      <c r="A22">
        <f>INT((ROW()-2)/12)+1</f>
        <v/>
      </c>
      <c r="B22">
        <f>IF(INDEX('Plan setup'!$A$25:$A$34,$A22)="","",INDEX('Plan setup'!$A$25:$A$34,$A22))</f>
        <v/>
      </c>
      <c r="C22">
        <f>MOD(ROW()-2,12)+1</f>
        <v/>
      </c>
      <c r="D22" s="24">
        <f>EDATE('Plan setup'!$B$3,$C22-1)</f>
        <v/>
      </c>
      <c r="E22" s="24">
        <f>EDATE('Plan setup'!$B$3,$C22)-1</f>
        <v/>
      </c>
      <c r="F22">
        <f>$B22&amp;"|"&amp;$C22</f>
        <v/>
      </c>
      <c r="G22" s="17">
        <f>IF($B22="",0,IFERROR(INDEX('Plan setup'!$C$25:$C$34,$A22)*1,0))</f>
        <v/>
      </c>
      <c r="H22" s="16">
        <f>IF($B22="",0,IFERROR(INDEX('Plan setup'!$E$25:$E$34,$A22)*1,0))</f>
        <v/>
      </c>
      <c r="I22" s="17">
        <f>IF($B22="",0,SUMIFS(Deals!$N$2:$N$301,Deals!$F$2:$F$301,$B22,Deals!$B$2:$B$301,"&gt;="&amp;$D22,Deals!$B$2:$B$301,"&lt;="&amp;$E22)+SUMIFS(Deals!$O$2:$O$301,Deals!$H$2:$H$301,$B22,Deals!$B$2:$B$301,"&gt;="&amp;$D22,Deals!$B$2:$B$301,"&lt;="&amp;$E22))</f>
        <v/>
      </c>
      <c r="J22" s="17">
        <f>IF($B22="",0,SUMIFS(Deals!$N$2:$N$301,Deals!$F$2:$F$301,$B22,Deals!$Q$2:$Q$301,"&gt;="&amp;$D22,Deals!$Q$2:$Q$301,"&lt;="&amp;$E22)+SUMIFS(Deals!$O$2:$O$301,Deals!$H$2:$H$301,$B22,Deals!$Q$2:$Q$301,"&gt;="&amp;$D22,Deals!$Q$2:$Q$301,"&lt;="&amp;$E22))</f>
        <v/>
      </c>
      <c r="K22" s="17">
        <f>$I22-$J22</f>
        <v/>
      </c>
      <c r="L22" s="17">
        <f>IF($C22=1,$K22,$L21+$K22)</f>
        <v/>
      </c>
      <c r="M22" s="25">
        <f>IF($G22&gt;0,$L22/$G22,0)</f>
        <v/>
      </c>
      <c r="N22" s="17">
        <f>IF('Plan setup'!$B$10="",0,MAX(0,MIN(MAX($L22,0),IF('Plan setup'!$C$10="",9E+15,'Plan setup'!$C$10*$G22))-'Plan setup'!$B$10*$G22))</f>
        <v/>
      </c>
      <c r="O22" s="17">
        <f>IF('Plan setup'!$B$11="",0,MAX(0,MIN(MAX($L22,0),IF('Plan setup'!$C$11="",9E+15,'Plan setup'!$C$11*$G22))-'Plan setup'!$B$11*$G22))</f>
        <v/>
      </c>
      <c r="P22" s="17">
        <f>IF('Plan setup'!$B$12="",0,MAX(0,MIN(MAX($L22,0),IF('Plan setup'!$C$12="",9E+15,'Plan setup'!$C$12*$G22))-'Plan setup'!$B$12*$G22))</f>
        <v/>
      </c>
      <c r="Q22" s="17">
        <f>IF('Plan setup'!$B$13="",0,MAX(0,MIN(MAX($L22,0),IF('Plan setup'!$C$13="",9E+15,'Plan setup'!$C$13*$G22))-'Plan setup'!$B$13*$G22))</f>
        <v/>
      </c>
      <c r="R22" s="17">
        <f>$H22*($N22*N('Plan setup'!$D$10)+$O22*N('Plan setup'!$D$11)+$P22*N('Plan setup'!$D$12)+$Q22*N('Plan setup'!$D$13))</f>
        <v/>
      </c>
      <c r="S22" s="17">
        <f>IF($C22=1,0,$U21)</f>
        <v/>
      </c>
      <c r="T22" s="17">
        <f>MAX(0,$R22-$S22)</f>
        <v/>
      </c>
      <c r="U22" s="17">
        <f>$S22+$T22</f>
        <v/>
      </c>
      <c r="V22" s="17">
        <f>MAX(0,$U22-$R22)</f>
        <v/>
      </c>
      <c r="W22">
        <f>IF($B22="","",IF($L22&lt;=0,"Tier 1","Tier "&amp;COUNTIF('Plan setup'!$B$10:$B$13,"&lt;="&amp;$M22)))</f>
        <v/>
      </c>
      <c r="X22" s="16">
        <f>IF($L22&gt;0,$R22/$L22,0)</f>
        <v/>
      </c>
    </row>
    <row r="23">
      <c r="A23">
        <f>INT((ROW()-2)/12)+1</f>
        <v/>
      </c>
      <c r="B23">
        <f>IF(INDEX('Plan setup'!$A$25:$A$34,$A23)="","",INDEX('Plan setup'!$A$25:$A$34,$A23))</f>
        <v/>
      </c>
      <c r="C23">
        <f>MOD(ROW()-2,12)+1</f>
        <v/>
      </c>
      <c r="D23" s="24">
        <f>EDATE('Plan setup'!$B$3,$C23-1)</f>
        <v/>
      </c>
      <c r="E23" s="24">
        <f>EDATE('Plan setup'!$B$3,$C23)-1</f>
        <v/>
      </c>
      <c r="F23">
        <f>$B23&amp;"|"&amp;$C23</f>
        <v/>
      </c>
      <c r="G23" s="17">
        <f>IF($B23="",0,IFERROR(INDEX('Plan setup'!$C$25:$C$34,$A23)*1,0))</f>
        <v/>
      </c>
      <c r="H23" s="16">
        <f>IF($B23="",0,IFERROR(INDEX('Plan setup'!$E$25:$E$34,$A23)*1,0))</f>
        <v/>
      </c>
      <c r="I23" s="17">
        <f>IF($B23="",0,SUMIFS(Deals!$N$2:$N$301,Deals!$F$2:$F$301,$B23,Deals!$B$2:$B$301,"&gt;="&amp;$D23,Deals!$B$2:$B$301,"&lt;="&amp;$E23)+SUMIFS(Deals!$O$2:$O$301,Deals!$H$2:$H$301,$B23,Deals!$B$2:$B$301,"&gt;="&amp;$D23,Deals!$B$2:$B$301,"&lt;="&amp;$E23))</f>
        <v/>
      </c>
      <c r="J23" s="17">
        <f>IF($B23="",0,SUMIFS(Deals!$N$2:$N$301,Deals!$F$2:$F$301,$B23,Deals!$Q$2:$Q$301,"&gt;="&amp;$D23,Deals!$Q$2:$Q$301,"&lt;="&amp;$E23)+SUMIFS(Deals!$O$2:$O$301,Deals!$H$2:$H$301,$B23,Deals!$Q$2:$Q$301,"&gt;="&amp;$D23,Deals!$Q$2:$Q$301,"&lt;="&amp;$E23))</f>
        <v/>
      </c>
      <c r="K23" s="17">
        <f>$I23-$J23</f>
        <v/>
      </c>
      <c r="L23" s="17">
        <f>IF($C23=1,$K23,$L22+$K23)</f>
        <v/>
      </c>
      <c r="M23" s="25">
        <f>IF($G23&gt;0,$L23/$G23,0)</f>
        <v/>
      </c>
      <c r="N23" s="17">
        <f>IF('Plan setup'!$B$10="",0,MAX(0,MIN(MAX($L23,0),IF('Plan setup'!$C$10="",9E+15,'Plan setup'!$C$10*$G23))-'Plan setup'!$B$10*$G23))</f>
        <v/>
      </c>
      <c r="O23" s="17">
        <f>IF('Plan setup'!$B$11="",0,MAX(0,MIN(MAX($L23,0),IF('Plan setup'!$C$11="",9E+15,'Plan setup'!$C$11*$G23))-'Plan setup'!$B$11*$G23))</f>
        <v/>
      </c>
      <c r="P23" s="17">
        <f>IF('Plan setup'!$B$12="",0,MAX(0,MIN(MAX($L23,0),IF('Plan setup'!$C$12="",9E+15,'Plan setup'!$C$12*$G23))-'Plan setup'!$B$12*$G23))</f>
        <v/>
      </c>
      <c r="Q23" s="17">
        <f>IF('Plan setup'!$B$13="",0,MAX(0,MIN(MAX($L23,0),IF('Plan setup'!$C$13="",9E+15,'Plan setup'!$C$13*$G23))-'Plan setup'!$B$13*$G23))</f>
        <v/>
      </c>
      <c r="R23" s="17">
        <f>$H23*($N23*N('Plan setup'!$D$10)+$O23*N('Plan setup'!$D$11)+$P23*N('Plan setup'!$D$12)+$Q23*N('Plan setup'!$D$13))</f>
        <v/>
      </c>
      <c r="S23" s="17">
        <f>IF($C23=1,0,$U22)</f>
        <v/>
      </c>
      <c r="T23" s="17">
        <f>MAX(0,$R23-$S23)</f>
        <v/>
      </c>
      <c r="U23" s="17">
        <f>$S23+$T23</f>
        <v/>
      </c>
      <c r="V23" s="17">
        <f>MAX(0,$U23-$R23)</f>
        <v/>
      </c>
      <c r="W23">
        <f>IF($B23="","",IF($L23&lt;=0,"Tier 1","Tier "&amp;COUNTIF('Plan setup'!$B$10:$B$13,"&lt;="&amp;$M23)))</f>
        <v/>
      </c>
      <c r="X23" s="16">
        <f>IF($L23&gt;0,$R23/$L23,0)</f>
        <v/>
      </c>
    </row>
    <row r="24">
      <c r="A24">
        <f>INT((ROW()-2)/12)+1</f>
        <v/>
      </c>
      <c r="B24">
        <f>IF(INDEX('Plan setup'!$A$25:$A$34,$A24)="","",INDEX('Plan setup'!$A$25:$A$34,$A24))</f>
        <v/>
      </c>
      <c r="C24">
        <f>MOD(ROW()-2,12)+1</f>
        <v/>
      </c>
      <c r="D24" s="24">
        <f>EDATE('Plan setup'!$B$3,$C24-1)</f>
        <v/>
      </c>
      <c r="E24" s="24">
        <f>EDATE('Plan setup'!$B$3,$C24)-1</f>
        <v/>
      </c>
      <c r="F24">
        <f>$B24&amp;"|"&amp;$C24</f>
        <v/>
      </c>
      <c r="G24" s="17">
        <f>IF($B24="",0,IFERROR(INDEX('Plan setup'!$C$25:$C$34,$A24)*1,0))</f>
        <v/>
      </c>
      <c r="H24" s="16">
        <f>IF($B24="",0,IFERROR(INDEX('Plan setup'!$E$25:$E$34,$A24)*1,0))</f>
        <v/>
      </c>
      <c r="I24" s="17">
        <f>IF($B24="",0,SUMIFS(Deals!$N$2:$N$301,Deals!$F$2:$F$301,$B24,Deals!$B$2:$B$301,"&gt;="&amp;$D24,Deals!$B$2:$B$301,"&lt;="&amp;$E24)+SUMIFS(Deals!$O$2:$O$301,Deals!$H$2:$H$301,$B24,Deals!$B$2:$B$301,"&gt;="&amp;$D24,Deals!$B$2:$B$301,"&lt;="&amp;$E24))</f>
        <v/>
      </c>
      <c r="J24" s="17">
        <f>IF($B24="",0,SUMIFS(Deals!$N$2:$N$301,Deals!$F$2:$F$301,$B24,Deals!$Q$2:$Q$301,"&gt;="&amp;$D24,Deals!$Q$2:$Q$301,"&lt;="&amp;$E24)+SUMIFS(Deals!$O$2:$O$301,Deals!$H$2:$H$301,$B24,Deals!$Q$2:$Q$301,"&gt;="&amp;$D24,Deals!$Q$2:$Q$301,"&lt;="&amp;$E24))</f>
        <v/>
      </c>
      <c r="K24" s="17">
        <f>$I24-$J24</f>
        <v/>
      </c>
      <c r="L24" s="17">
        <f>IF($C24=1,$K24,$L23+$K24)</f>
        <v/>
      </c>
      <c r="M24" s="25">
        <f>IF($G24&gt;0,$L24/$G24,0)</f>
        <v/>
      </c>
      <c r="N24" s="17">
        <f>IF('Plan setup'!$B$10="",0,MAX(0,MIN(MAX($L24,0),IF('Plan setup'!$C$10="",9E+15,'Plan setup'!$C$10*$G24))-'Plan setup'!$B$10*$G24))</f>
        <v/>
      </c>
      <c r="O24" s="17">
        <f>IF('Plan setup'!$B$11="",0,MAX(0,MIN(MAX($L24,0),IF('Plan setup'!$C$11="",9E+15,'Plan setup'!$C$11*$G24))-'Plan setup'!$B$11*$G24))</f>
        <v/>
      </c>
      <c r="P24" s="17">
        <f>IF('Plan setup'!$B$12="",0,MAX(0,MIN(MAX($L24,0),IF('Plan setup'!$C$12="",9E+15,'Plan setup'!$C$12*$G24))-'Plan setup'!$B$12*$G24))</f>
        <v/>
      </c>
      <c r="Q24" s="17">
        <f>IF('Plan setup'!$B$13="",0,MAX(0,MIN(MAX($L24,0),IF('Plan setup'!$C$13="",9E+15,'Plan setup'!$C$13*$G24))-'Plan setup'!$B$13*$G24))</f>
        <v/>
      </c>
      <c r="R24" s="17">
        <f>$H24*($N24*N('Plan setup'!$D$10)+$O24*N('Plan setup'!$D$11)+$P24*N('Plan setup'!$D$12)+$Q24*N('Plan setup'!$D$13))</f>
        <v/>
      </c>
      <c r="S24" s="17">
        <f>IF($C24=1,0,$U23)</f>
        <v/>
      </c>
      <c r="T24" s="17">
        <f>MAX(0,$R24-$S24)</f>
        <v/>
      </c>
      <c r="U24" s="17">
        <f>$S24+$T24</f>
        <v/>
      </c>
      <c r="V24" s="17">
        <f>MAX(0,$U24-$R24)</f>
        <v/>
      </c>
      <c r="W24">
        <f>IF($B24="","",IF($L24&lt;=0,"Tier 1","Tier "&amp;COUNTIF('Plan setup'!$B$10:$B$13,"&lt;="&amp;$M24)))</f>
        <v/>
      </c>
      <c r="X24" s="16">
        <f>IF($L24&gt;0,$R24/$L24,0)</f>
        <v/>
      </c>
    </row>
    <row r="25">
      <c r="A25">
        <f>INT((ROW()-2)/12)+1</f>
        <v/>
      </c>
      <c r="B25">
        <f>IF(INDEX('Plan setup'!$A$25:$A$34,$A25)="","",INDEX('Plan setup'!$A$25:$A$34,$A25))</f>
        <v/>
      </c>
      <c r="C25">
        <f>MOD(ROW()-2,12)+1</f>
        <v/>
      </c>
      <c r="D25" s="24">
        <f>EDATE('Plan setup'!$B$3,$C25-1)</f>
        <v/>
      </c>
      <c r="E25" s="24">
        <f>EDATE('Plan setup'!$B$3,$C25)-1</f>
        <v/>
      </c>
      <c r="F25">
        <f>$B25&amp;"|"&amp;$C25</f>
        <v/>
      </c>
      <c r="G25" s="17">
        <f>IF($B25="",0,IFERROR(INDEX('Plan setup'!$C$25:$C$34,$A25)*1,0))</f>
        <v/>
      </c>
      <c r="H25" s="16">
        <f>IF($B25="",0,IFERROR(INDEX('Plan setup'!$E$25:$E$34,$A25)*1,0))</f>
        <v/>
      </c>
      <c r="I25" s="17">
        <f>IF($B25="",0,SUMIFS(Deals!$N$2:$N$301,Deals!$F$2:$F$301,$B25,Deals!$B$2:$B$301,"&gt;="&amp;$D25,Deals!$B$2:$B$301,"&lt;="&amp;$E25)+SUMIFS(Deals!$O$2:$O$301,Deals!$H$2:$H$301,$B25,Deals!$B$2:$B$301,"&gt;="&amp;$D25,Deals!$B$2:$B$301,"&lt;="&amp;$E25))</f>
        <v/>
      </c>
      <c r="J25" s="17">
        <f>IF($B25="",0,SUMIFS(Deals!$N$2:$N$301,Deals!$F$2:$F$301,$B25,Deals!$Q$2:$Q$301,"&gt;="&amp;$D25,Deals!$Q$2:$Q$301,"&lt;="&amp;$E25)+SUMIFS(Deals!$O$2:$O$301,Deals!$H$2:$H$301,$B25,Deals!$Q$2:$Q$301,"&gt;="&amp;$D25,Deals!$Q$2:$Q$301,"&lt;="&amp;$E25))</f>
        <v/>
      </c>
      <c r="K25" s="17">
        <f>$I25-$J25</f>
        <v/>
      </c>
      <c r="L25" s="17">
        <f>IF($C25=1,$K25,$L24+$K25)</f>
        <v/>
      </c>
      <c r="M25" s="25">
        <f>IF($G25&gt;0,$L25/$G25,0)</f>
        <v/>
      </c>
      <c r="N25" s="17">
        <f>IF('Plan setup'!$B$10="",0,MAX(0,MIN(MAX($L25,0),IF('Plan setup'!$C$10="",9E+15,'Plan setup'!$C$10*$G25))-'Plan setup'!$B$10*$G25))</f>
        <v/>
      </c>
      <c r="O25" s="17">
        <f>IF('Plan setup'!$B$11="",0,MAX(0,MIN(MAX($L25,0),IF('Plan setup'!$C$11="",9E+15,'Plan setup'!$C$11*$G25))-'Plan setup'!$B$11*$G25))</f>
        <v/>
      </c>
      <c r="P25" s="17">
        <f>IF('Plan setup'!$B$12="",0,MAX(0,MIN(MAX($L25,0),IF('Plan setup'!$C$12="",9E+15,'Plan setup'!$C$12*$G25))-'Plan setup'!$B$12*$G25))</f>
        <v/>
      </c>
      <c r="Q25" s="17">
        <f>IF('Plan setup'!$B$13="",0,MAX(0,MIN(MAX($L25,0),IF('Plan setup'!$C$13="",9E+15,'Plan setup'!$C$13*$G25))-'Plan setup'!$B$13*$G25))</f>
        <v/>
      </c>
      <c r="R25" s="17">
        <f>$H25*($N25*N('Plan setup'!$D$10)+$O25*N('Plan setup'!$D$11)+$P25*N('Plan setup'!$D$12)+$Q25*N('Plan setup'!$D$13))</f>
        <v/>
      </c>
      <c r="S25" s="17">
        <f>IF($C25=1,0,$U24)</f>
        <v/>
      </c>
      <c r="T25" s="17">
        <f>MAX(0,$R25-$S25)</f>
        <v/>
      </c>
      <c r="U25" s="17">
        <f>$S25+$T25</f>
        <v/>
      </c>
      <c r="V25" s="17">
        <f>MAX(0,$U25-$R25)</f>
        <v/>
      </c>
      <c r="W25">
        <f>IF($B25="","",IF($L25&lt;=0,"Tier 1","Tier "&amp;COUNTIF('Plan setup'!$B$10:$B$13,"&lt;="&amp;$M25)))</f>
        <v/>
      </c>
      <c r="X25" s="16">
        <f>IF($L25&gt;0,$R25/$L25,0)</f>
        <v/>
      </c>
    </row>
    <row r="26">
      <c r="A26">
        <f>INT((ROW()-2)/12)+1</f>
        <v/>
      </c>
      <c r="B26">
        <f>IF(INDEX('Plan setup'!$A$25:$A$34,$A26)="","",INDEX('Plan setup'!$A$25:$A$34,$A26))</f>
        <v/>
      </c>
      <c r="C26">
        <f>MOD(ROW()-2,12)+1</f>
        <v/>
      </c>
      <c r="D26" s="24">
        <f>EDATE('Plan setup'!$B$3,$C26-1)</f>
        <v/>
      </c>
      <c r="E26" s="24">
        <f>EDATE('Plan setup'!$B$3,$C26)-1</f>
        <v/>
      </c>
      <c r="F26">
        <f>$B26&amp;"|"&amp;$C26</f>
        <v/>
      </c>
      <c r="G26" s="17">
        <f>IF($B26="",0,IFERROR(INDEX('Plan setup'!$C$25:$C$34,$A26)*1,0))</f>
        <v/>
      </c>
      <c r="H26" s="16">
        <f>IF($B26="",0,IFERROR(INDEX('Plan setup'!$E$25:$E$34,$A26)*1,0))</f>
        <v/>
      </c>
      <c r="I26" s="17">
        <f>IF($B26="",0,SUMIFS(Deals!$N$2:$N$301,Deals!$F$2:$F$301,$B26,Deals!$B$2:$B$301,"&gt;="&amp;$D26,Deals!$B$2:$B$301,"&lt;="&amp;$E26)+SUMIFS(Deals!$O$2:$O$301,Deals!$H$2:$H$301,$B26,Deals!$B$2:$B$301,"&gt;="&amp;$D26,Deals!$B$2:$B$301,"&lt;="&amp;$E26))</f>
        <v/>
      </c>
      <c r="J26" s="17">
        <f>IF($B26="",0,SUMIFS(Deals!$N$2:$N$301,Deals!$F$2:$F$301,$B26,Deals!$Q$2:$Q$301,"&gt;="&amp;$D26,Deals!$Q$2:$Q$301,"&lt;="&amp;$E26)+SUMIFS(Deals!$O$2:$O$301,Deals!$H$2:$H$301,$B26,Deals!$Q$2:$Q$301,"&gt;="&amp;$D26,Deals!$Q$2:$Q$301,"&lt;="&amp;$E26))</f>
        <v/>
      </c>
      <c r="K26" s="17">
        <f>$I26-$J26</f>
        <v/>
      </c>
      <c r="L26" s="17">
        <f>IF($C26=1,$K26,$L25+$K26)</f>
        <v/>
      </c>
      <c r="M26" s="25">
        <f>IF($G26&gt;0,$L26/$G26,0)</f>
        <v/>
      </c>
      <c r="N26" s="17">
        <f>IF('Plan setup'!$B$10="",0,MAX(0,MIN(MAX($L26,0),IF('Plan setup'!$C$10="",9E+15,'Plan setup'!$C$10*$G26))-'Plan setup'!$B$10*$G26))</f>
        <v/>
      </c>
      <c r="O26" s="17">
        <f>IF('Plan setup'!$B$11="",0,MAX(0,MIN(MAX($L26,0),IF('Plan setup'!$C$11="",9E+15,'Plan setup'!$C$11*$G26))-'Plan setup'!$B$11*$G26))</f>
        <v/>
      </c>
      <c r="P26" s="17">
        <f>IF('Plan setup'!$B$12="",0,MAX(0,MIN(MAX($L26,0),IF('Plan setup'!$C$12="",9E+15,'Plan setup'!$C$12*$G26))-'Plan setup'!$B$12*$G26))</f>
        <v/>
      </c>
      <c r="Q26" s="17">
        <f>IF('Plan setup'!$B$13="",0,MAX(0,MIN(MAX($L26,0),IF('Plan setup'!$C$13="",9E+15,'Plan setup'!$C$13*$G26))-'Plan setup'!$B$13*$G26))</f>
        <v/>
      </c>
      <c r="R26" s="17">
        <f>$H26*($N26*N('Plan setup'!$D$10)+$O26*N('Plan setup'!$D$11)+$P26*N('Plan setup'!$D$12)+$Q26*N('Plan setup'!$D$13))</f>
        <v/>
      </c>
      <c r="S26" s="17">
        <f>IF($C26=1,0,$U25)</f>
        <v/>
      </c>
      <c r="T26" s="17">
        <f>MAX(0,$R26-$S26)</f>
        <v/>
      </c>
      <c r="U26" s="17">
        <f>$S26+$T26</f>
        <v/>
      </c>
      <c r="V26" s="17">
        <f>MAX(0,$U26-$R26)</f>
        <v/>
      </c>
      <c r="W26">
        <f>IF($B26="","",IF($L26&lt;=0,"Tier 1","Tier "&amp;COUNTIF('Plan setup'!$B$10:$B$13,"&lt;="&amp;$M26)))</f>
        <v/>
      </c>
      <c r="X26" s="16">
        <f>IF($L26&gt;0,$R26/$L26,0)</f>
        <v/>
      </c>
    </row>
    <row r="27">
      <c r="A27">
        <f>INT((ROW()-2)/12)+1</f>
        <v/>
      </c>
      <c r="B27">
        <f>IF(INDEX('Plan setup'!$A$25:$A$34,$A27)="","",INDEX('Plan setup'!$A$25:$A$34,$A27))</f>
        <v/>
      </c>
      <c r="C27">
        <f>MOD(ROW()-2,12)+1</f>
        <v/>
      </c>
      <c r="D27" s="24">
        <f>EDATE('Plan setup'!$B$3,$C27-1)</f>
        <v/>
      </c>
      <c r="E27" s="24">
        <f>EDATE('Plan setup'!$B$3,$C27)-1</f>
        <v/>
      </c>
      <c r="F27">
        <f>$B27&amp;"|"&amp;$C27</f>
        <v/>
      </c>
      <c r="G27" s="17">
        <f>IF($B27="",0,IFERROR(INDEX('Plan setup'!$C$25:$C$34,$A27)*1,0))</f>
        <v/>
      </c>
      <c r="H27" s="16">
        <f>IF($B27="",0,IFERROR(INDEX('Plan setup'!$E$25:$E$34,$A27)*1,0))</f>
        <v/>
      </c>
      <c r="I27" s="17">
        <f>IF($B27="",0,SUMIFS(Deals!$N$2:$N$301,Deals!$F$2:$F$301,$B27,Deals!$B$2:$B$301,"&gt;="&amp;$D27,Deals!$B$2:$B$301,"&lt;="&amp;$E27)+SUMIFS(Deals!$O$2:$O$301,Deals!$H$2:$H$301,$B27,Deals!$B$2:$B$301,"&gt;="&amp;$D27,Deals!$B$2:$B$301,"&lt;="&amp;$E27))</f>
        <v/>
      </c>
      <c r="J27" s="17">
        <f>IF($B27="",0,SUMIFS(Deals!$N$2:$N$301,Deals!$F$2:$F$301,$B27,Deals!$Q$2:$Q$301,"&gt;="&amp;$D27,Deals!$Q$2:$Q$301,"&lt;="&amp;$E27)+SUMIFS(Deals!$O$2:$O$301,Deals!$H$2:$H$301,$B27,Deals!$Q$2:$Q$301,"&gt;="&amp;$D27,Deals!$Q$2:$Q$301,"&lt;="&amp;$E27))</f>
        <v/>
      </c>
      <c r="K27" s="17">
        <f>$I27-$J27</f>
        <v/>
      </c>
      <c r="L27" s="17">
        <f>IF($C27=1,$K27,$L26+$K27)</f>
        <v/>
      </c>
      <c r="M27" s="25">
        <f>IF($G27&gt;0,$L27/$G27,0)</f>
        <v/>
      </c>
      <c r="N27" s="17">
        <f>IF('Plan setup'!$B$10="",0,MAX(0,MIN(MAX($L27,0),IF('Plan setup'!$C$10="",9E+15,'Plan setup'!$C$10*$G27))-'Plan setup'!$B$10*$G27))</f>
        <v/>
      </c>
      <c r="O27" s="17">
        <f>IF('Plan setup'!$B$11="",0,MAX(0,MIN(MAX($L27,0),IF('Plan setup'!$C$11="",9E+15,'Plan setup'!$C$11*$G27))-'Plan setup'!$B$11*$G27))</f>
        <v/>
      </c>
      <c r="P27" s="17">
        <f>IF('Plan setup'!$B$12="",0,MAX(0,MIN(MAX($L27,0),IF('Plan setup'!$C$12="",9E+15,'Plan setup'!$C$12*$G27))-'Plan setup'!$B$12*$G27))</f>
        <v/>
      </c>
      <c r="Q27" s="17">
        <f>IF('Plan setup'!$B$13="",0,MAX(0,MIN(MAX($L27,0),IF('Plan setup'!$C$13="",9E+15,'Plan setup'!$C$13*$G27))-'Plan setup'!$B$13*$G27))</f>
        <v/>
      </c>
      <c r="R27" s="17">
        <f>$H27*($N27*N('Plan setup'!$D$10)+$O27*N('Plan setup'!$D$11)+$P27*N('Plan setup'!$D$12)+$Q27*N('Plan setup'!$D$13))</f>
        <v/>
      </c>
      <c r="S27" s="17">
        <f>IF($C27=1,0,$U26)</f>
        <v/>
      </c>
      <c r="T27" s="17">
        <f>MAX(0,$R27-$S27)</f>
        <v/>
      </c>
      <c r="U27" s="17">
        <f>$S27+$T27</f>
        <v/>
      </c>
      <c r="V27" s="17">
        <f>MAX(0,$U27-$R27)</f>
        <v/>
      </c>
      <c r="W27">
        <f>IF($B27="","",IF($L27&lt;=0,"Tier 1","Tier "&amp;COUNTIF('Plan setup'!$B$10:$B$13,"&lt;="&amp;$M27)))</f>
        <v/>
      </c>
      <c r="X27" s="16">
        <f>IF($L27&gt;0,$R27/$L27,0)</f>
        <v/>
      </c>
    </row>
    <row r="28">
      <c r="A28">
        <f>INT((ROW()-2)/12)+1</f>
        <v/>
      </c>
      <c r="B28">
        <f>IF(INDEX('Plan setup'!$A$25:$A$34,$A28)="","",INDEX('Plan setup'!$A$25:$A$34,$A28))</f>
        <v/>
      </c>
      <c r="C28">
        <f>MOD(ROW()-2,12)+1</f>
        <v/>
      </c>
      <c r="D28" s="24">
        <f>EDATE('Plan setup'!$B$3,$C28-1)</f>
        <v/>
      </c>
      <c r="E28" s="24">
        <f>EDATE('Plan setup'!$B$3,$C28)-1</f>
        <v/>
      </c>
      <c r="F28">
        <f>$B28&amp;"|"&amp;$C28</f>
        <v/>
      </c>
      <c r="G28" s="17">
        <f>IF($B28="",0,IFERROR(INDEX('Plan setup'!$C$25:$C$34,$A28)*1,0))</f>
        <v/>
      </c>
      <c r="H28" s="16">
        <f>IF($B28="",0,IFERROR(INDEX('Plan setup'!$E$25:$E$34,$A28)*1,0))</f>
        <v/>
      </c>
      <c r="I28" s="17">
        <f>IF($B28="",0,SUMIFS(Deals!$N$2:$N$301,Deals!$F$2:$F$301,$B28,Deals!$B$2:$B$301,"&gt;="&amp;$D28,Deals!$B$2:$B$301,"&lt;="&amp;$E28)+SUMIFS(Deals!$O$2:$O$301,Deals!$H$2:$H$301,$B28,Deals!$B$2:$B$301,"&gt;="&amp;$D28,Deals!$B$2:$B$301,"&lt;="&amp;$E28))</f>
        <v/>
      </c>
      <c r="J28" s="17">
        <f>IF($B28="",0,SUMIFS(Deals!$N$2:$N$301,Deals!$F$2:$F$301,$B28,Deals!$Q$2:$Q$301,"&gt;="&amp;$D28,Deals!$Q$2:$Q$301,"&lt;="&amp;$E28)+SUMIFS(Deals!$O$2:$O$301,Deals!$H$2:$H$301,$B28,Deals!$Q$2:$Q$301,"&gt;="&amp;$D28,Deals!$Q$2:$Q$301,"&lt;="&amp;$E28))</f>
        <v/>
      </c>
      <c r="K28" s="17">
        <f>$I28-$J28</f>
        <v/>
      </c>
      <c r="L28" s="17">
        <f>IF($C28=1,$K28,$L27+$K28)</f>
        <v/>
      </c>
      <c r="M28" s="25">
        <f>IF($G28&gt;0,$L28/$G28,0)</f>
        <v/>
      </c>
      <c r="N28" s="17">
        <f>IF('Plan setup'!$B$10="",0,MAX(0,MIN(MAX($L28,0),IF('Plan setup'!$C$10="",9E+15,'Plan setup'!$C$10*$G28))-'Plan setup'!$B$10*$G28))</f>
        <v/>
      </c>
      <c r="O28" s="17">
        <f>IF('Plan setup'!$B$11="",0,MAX(0,MIN(MAX($L28,0),IF('Plan setup'!$C$11="",9E+15,'Plan setup'!$C$11*$G28))-'Plan setup'!$B$11*$G28))</f>
        <v/>
      </c>
      <c r="P28" s="17">
        <f>IF('Plan setup'!$B$12="",0,MAX(0,MIN(MAX($L28,0),IF('Plan setup'!$C$12="",9E+15,'Plan setup'!$C$12*$G28))-'Plan setup'!$B$12*$G28))</f>
        <v/>
      </c>
      <c r="Q28" s="17">
        <f>IF('Plan setup'!$B$13="",0,MAX(0,MIN(MAX($L28,0),IF('Plan setup'!$C$13="",9E+15,'Plan setup'!$C$13*$G28))-'Plan setup'!$B$13*$G28))</f>
        <v/>
      </c>
      <c r="R28" s="17">
        <f>$H28*($N28*N('Plan setup'!$D$10)+$O28*N('Plan setup'!$D$11)+$P28*N('Plan setup'!$D$12)+$Q28*N('Plan setup'!$D$13))</f>
        <v/>
      </c>
      <c r="S28" s="17">
        <f>IF($C28=1,0,$U27)</f>
        <v/>
      </c>
      <c r="T28" s="17">
        <f>MAX(0,$R28-$S28)</f>
        <v/>
      </c>
      <c r="U28" s="17">
        <f>$S28+$T28</f>
        <v/>
      </c>
      <c r="V28" s="17">
        <f>MAX(0,$U28-$R28)</f>
        <v/>
      </c>
      <c r="W28">
        <f>IF($B28="","",IF($L28&lt;=0,"Tier 1","Tier "&amp;COUNTIF('Plan setup'!$B$10:$B$13,"&lt;="&amp;$M28)))</f>
        <v/>
      </c>
      <c r="X28" s="16">
        <f>IF($L28&gt;0,$R28/$L28,0)</f>
        <v/>
      </c>
    </row>
    <row r="29">
      <c r="A29">
        <f>INT((ROW()-2)/12)+1</f>
        <v/>
      </c>
      <c r="B29">
        <f>IF(INDEX('Plan setup'!$A$25:$A$34,$A29)="","",INDEX('Plan setup'!$A$25:$A$34,$A29))</f>
        <v/>
      </c>
      <c r="C29">
        <f>MOD(ROW()-2,12)+1</f>
        <v/>
      </c>
      <c r="D29" s="24">
        <f>EDATE('Plan setup'!$B$3,$C29-1)</f>
        <v/>
      </c>
      <c r="E29" s="24">
        <f>EDATE('Plan setup'!$B$3,$C29)-1</f>
        <v/>
      </c>
      <c r="F29">
        <f>$B29&amp;"|"&amp;$C29</f>
        <v/>
      </c>
      <c r="G29" s="17">
        <f>IF($B29="",0,IFERROR(INDEX('Plan setup'!$C$25:$C$34,$A29)*1,0))</f>
        <v/>
      </c>
      <c r="H29" s="16">
        <f>IF($B29="",0,IFERROR(INDEX('Plan setup'!$E$25:$E$34,$A29)*1,0))</f>
        <v/>
      </c>
      <c r="I29" s="17">
        <f>IF($B29="",0,SUMIFS(Deals!$N$2:$N$301,Deals!$F$2:$F$301,$B29,Deals!$B$2:$B$301,"&gt;="&amp;$D29,Deals!$B$2:$B$301,"&lt;="&amp;$E29)+SUMIFS(Deals!$O$2:$O$301,Deals!$H$2:$H$301,$B29,Deals!$B$2:$B$301,"&gt;="&amp;$D29,Deals!$B$2:$B$301,"&lt;="&amp;$E29))</f>
        <v/>
      </c>
      <c r="J29" s="17">
        <f>IF($B29="",0,SUMIFS(Deals!$N$2:$N$301,Deals!$F$2:$F$301,$B29,Deals!$Q$2:$Q$301,"&gt;="&amp;$D29,Deals!$Q$2:$Q$301,"&lt;="&amp;$E29)+SUMIFS(Deals!$O$2:$O$301,Deals!$H$2:$H$301,$B29,Deals!$Q$2:$Q$301,"&gt;="&amp;$D29,Deals!$Q$2:$Q$301,"&lt;="&amp;$E29))</f>
        <v/>
      </c>
      <c r="K29" s="17">
        <f>$I29-$J29</f>
        <v/>
      </c>
      <c r="L29" s="17">
        <f>IF($C29=1,$K29,$L28+$K29)</f>
        <v/>
      </c>
      <c r="M29" s="25">
        <f>IF($G29&gt;0,$L29/$G29,0)</f>
        <v/>
      </c>
      <c r="N29" s="17">
        <f>IF('Plan setup'!$B$10="",0,MAX(0,MIN(MAX($L29,0),IF('Plan setup'!$C$10="",9E+15,'Plan setup'!$C$10*$G29))-'Plan setup'!$B$10*$G29))</f>
        <v/>
      </c>
      <c r="O29" s="17">
        <f>IF('Plan setup'!$B$11="",0,MAX(0,MIN(MAX($L29,0),IF('Plan setup'!$C$11="",9E+15,'Plan setup'!$C$11*$G29))-'Plan setup'!$B$11*$G29))</f>
        <v/>
      </c>
      <c r="P29" s="17">
        <f>IF('Plan setup'!$B$12="",0,MAX(0,MIN(MAX($L29,0),IF('Plan setup'!$C$12="",9E+15,'Plan setup'!$C$12*$G29))-'Plan setup'!$B$12*$G29))</f>
        <v/>
      </c>
      <c r="Q29" s="17">
        <f>IF('Plan setup'!$B$13="",0,MAX(0,MIN(MAX($L29,0),IF('Plan setup'!$C$13="",9E+15,'Plan setup'!$C$13*$G29))-'Plan setup'!$B$13*$G29))</f>
        <v/>
      </c>
      <c r="R29" s="17">
        <f>$H29*($N29*N('Plan setup'!$D$10)+$O29*N('Plan setup'!$D$11)+$P29*N('Plan setup'!$D$12)+$Q29*N('Plan setup'!$D$13))</f>
        <v/>
      </c>
      <c r="S29" s="17">
        <f>IF($C29=1,0,$U28)</f>
        <v/>
      </c>
      <c r="T29" s="17">
        <f>MAX(0,$R29-$S29)</f>
        <v/>
      </c>
      <c r="U29" s="17">
        <f>$S29+$T29</f>
        <v/>
      </c>
      <c r="V29" s="17">
        <f>MAX(0,$U29-$R29)</f>
        <v/>
      </c>
      <c r="W29">
        <f>IF($B29="","",IF($L29&lt;=0,"Tier 1","Tier "&amp;COUNTIF('Plan setup'!$B$10:$B$13,"&lt;="&amp;$M29)))</f>
        <v/>
      </c>
      <c r="X29" s="16">
        <f>IF($L29&gt;0,$R29/$L29,0)</f>
        <v/>
      </c>
    </row>
    <row r="30">
      <c r="A30">
        <f>INT((ROW()-2)/12)+1</f>
        <v/>
      </c>
      <c r="B30">
        <f>IF(INDEX('Plan setup'!$A$25:$A$34,$A30)="","",INDEX('Plan setup'!$A$25:$A$34,$A30))</f>
        <v/>
      </c>
      <c r="C30">
        <f>MOD(ROW()-2,12)+1</f>
        <v/>
      </c>
      <c r="D30" s="24">
        <f>EDATE('Plan setup'!$B$3,$C30-1)</f>
        <v/>
      </c>
      <c r="E30" s="24">
        <f>EDATE('Plan setup'!$B$3,$C30)-1</f>
        <v/>
      </c>
      <c r="F30">
        <f>$B30&amp;"|"&amp;$C30</f>
        <v/>
      </c>
      <c r="G30" s="17">
        <f>IF($B30="",0,IFERROR(INDEX('Plan setup'!$C$25:$C$34,$A30)*1,0))</f>
        <v/>
      </c>
      <c r="H30" s="16">
        <f>IF($B30="",0,IFERROR(INDEX('Plan setup'!$E$25:$E$34,$A30)*1,0))</f>
        <v/>
      </c>
      <c r="I30" s="17">
        <f>IF($B30="",0,SUMIFS(Deals!$N$2:$N$301,Deals!$F$2:$F$301,$B30,Deals!$B$2:$B$301,"&gt;="&amp;$D30,Deals!$B$2:$B$301,"&lt;="&amp;$E30)+SUMIFS(Deals!$O$2:$O$301,Deals!$H$2:$H$301,$B30,Deals!$B$2:$B$301,"&gt;="&amp;$D30,Deals!$B$2:$B$301,"&lt;="&amp;$E30))</f>
        <v/>
      </c>
      <c r="J30" s="17">
        <f>IF($B30="",0,SUMIFS(Deals!$N$2:$N$301,Deals!$F$2:$F$301,$B30,Deals!$Q$2:$Q$301,"&gt;="&amp;$D30,Deals!$Q$2:$Q$301,"&lt;="&amp;$E30)+SUMIFS(Deals!$O$2:$O$301,Deals!$H$2:$H$301,$B30,Deals!$Q$2:$Q$301,"&gt;="&amp;$D30,Deals!$Q$2:$Q$301,"&lt;="&amp;$E30))</f>
        <v/>
      </c>
      <c r="K30" s="17">
        <f>$I30-$J30</f>
        <v/>
      </c>
      <c r="L30" s="17">
        <f>IF($C30=1,$K30,$L29+$K30)</f>
        <v/>
      </c>
      <c r="M30" s="25">
        <f>IF($G30&gt;0,$L30/$G30,0)</f>
        <v/>
      </c>
      <c r="N30" s="17">
        <f>IF('Plan setup'!$B$10="",0,MAX(0,MIN(MAX($L30,0),IF('Plan setup'!$C$10="",9E+15,'Plan setup'!$C$10*$G30))-'Plan setup'!$B$10*$G30))</f>
        <v/>
      </c>
      <c r="O30" s="17">
        <f>IF('Plan setup'!$B$11="",0,MAX(0,MIN(MAX($L30,0),IF('Plan setup'!$C$11="",9E+15,'Plan setup'!$C$11*$G30))-'Plan setup'!$B$11*$G30))</f>
        <v/>
      </c>
      <c r="P30" s="17">
        <f>IF('Plan setup'!$B$12="",0,MAX(0,MIN(MAX($L30,0),IF('Plan setup'!$C$12="",9E+15,'Plan setup'!$C$12*$G30))-'Plan setup'!$B$12*$G30))</f>
        <v/>
      </c>
      <c r="Q30" s="17">
        <f>IF('Plan setup'!$B$13="",0,MAX(0,MIN(MAX($L30,0),IF('Plan setup'!$C$13="",9E+15,'Plan setup'!$C$13*$G30))-'Plan setup'!$B$13*$G30))</f>
        <v/>
      </c>
      <c r="R30" s="17">
        <f>$H30*($N30*N('Plan setup'!$D$10)+$O30*N('Plan setup'!$D$11)+$P30*N('Plan setup'!$D$12)+$Q30*N('Plan setup'!$D$13))</f>
        <v/>
      </c>
      <c r="S30" s="17">
        <f>IF($C30=1,0,$U29)</f>
        <v/>
      </c>
      <c r="T30" s="17">
        <f>MAX(0,$R30-$S30)</f>
        <v/>
      </c>
      <c r="U30" s="17">
        <f>$S30+$T30</f>
        <v/>
      </c>
      <c r="V30" s="17">
        <f>MAX(0,$U30-$R30)</f>
        <v/>
      </c>
      <c r="W30">
        <f>IF($B30="","",IF($L30&lt;=0,"Tier 1","Tier "&amp;COUNTIF('Plan setup'!$B$10:$B$13,"&lt;="&amp;$M30)))</f>
        <v/>
      </c>
      <c r="X30" s="16">
        <f>IF($L30&gt;0,$R30/$L30,0)</f>
        <v/>
      </c>
    </row>
    <row r="31">
      <c r="A31">
        <f>INT((ROW()-2)/12)+1</f>
        <v/>
      </c>
      <c r="B31">
        <f>IF(INDEX('Plan setup'!$A$25:$A$34,$A31)="","",INDEX('Plan setup'!$A$25:$A$34,$A31))</f>
        <v/>
      </c>
      <c r="C31">
        <f>MOD(ROW()-2,12)+1</f>
        <v/>
      </c>
      <c r="D31" s="24">
        <f>EDATE('Plan setup'!$B$3,$C31-1)</f>
        <v/>
      </c>
      <c r="E31" s="24">
        <f>EDATE('Plan setup'!$B$3,$C31)-1</f>
        <v/>
      </c>
      <c r="F31">
        <f>$B31&amp;"|"&amp;$C31</f>
        <v/>
      </c>
      <c r="G31" s="17">
        <f>IF($B31="",0,IFERROR(INDEX('Plan setup'!$C$25:$C$34,$A31)*1,0))</f>
        <v/>
      </c>
      <c r="H31" s="16">
        <f>IF($B31="",0,IFERROR(INDEX('Plan setup'!$E$25:$E$34,$A31)*1,0))</f>
        <v/>
      </c>
      <c r="I31" s="17">
        <f>IF($B31="",0,SUMIFS(Deals!$N$2:$N$301,Deals!$F$2:$F$301,$B31,Deals!$B$2:$B$301,"&gt;="&amp;$D31,Deals!$B$2:$B$301,"&lt;="&amp;$E31)+SUMIFS(Deals!$O$2:$O$301,Deals!$H$2:$H$301,$B31,Deals!$B$2:$B$301,"&gt;="&amp;$D31,Deals!$B$2:$B$301,"&lt;="&amp;$E31))</f>
        <v/>
      </c>
      <c r="J31" s="17">
        <f>IF($B31="",0,SUMIFS(Deals!$N$2:$N$301,Deals!$F$2:$F$301,$B31,Deals!$Q$2:$Q$301,"&gt;="&amp;$D31,Deals!$Q$2:$Q$301,"&lt;="&amp;$E31)+SUMIFS(Deals!$O$2:$O$301,Deals!$H$2:$H$301,$B31,Deals!$Q$2:$Q$301,"&gt;="&amp;$D31,Deals!$Q$2:$Q$301,"&lt;="&amp;$E31))</f>
        <v/>
      </c>
      <c r="K31" s="17">
        <f>$I31-$J31</f>
        <v/>
      </c>
      <c r="L31" s="17">
        <f>IF($C31=1,$K31,$L30+$K31)</f>
        <v/>
      </c>
      <c r="M31" s="25">
        <f>IF($G31&gt;0,$L31/$G31,0)</f>
        <v/>
      </c>
      <c r="N31" s="17">
        <f>IF('Plan setup'!$B$10="",0,MAX(0,MIN(MAX($L31,0),IF('Plan setup'!$C$10="",9E+15,'Plan setup'!$C$10*$G31))-'Plan setup'!$B$10*$G31))</f>
        <v/>
      </c>
      <c r="O31" s="17">
        <f>IF('Plan setup'!$B$11="",0,MAX(0,MIN(MAX($L31,0),IF('Plan setup'!$C$11="",9E+15,'Plan setup'!$C$11*$G31))-'Plan setup'!$B$11*$G31))</f>
        <v/>
      </c>
      <c r="P31" s="17">
        <f>IF('Plan setup'!$B$12="",0,MAX(0,MIN(MAX($L31,0),IF('Plan setup'!$C$12="",9E+15,'Plan setup'!$C$12*$G31))-'Plan setup'!$B$12*$G31))</f>
        <v/>
      </c>
      <c r="Q31" s="17">
        <f>IF('Plan setup'!$B$13="",0,MAX(0,MIN(MAX($L31,0),IF('Plan setup'!$C$13="",9E+15,'Plan setup'!$C$13*$G31))-'Plan setup'!$B$13*$G31))</f>
        <v/>
      </c>
      <c r="R31" s="17">
        <f>$H31*($N31*N('Plan setup'!$D$10)+$O31*N('Plan setup'!$D$11)+$P31*N('Plan setup'!$D$12)+$Q31*N('Plan setup'!$D$13))</f>
        <v/>
      </c>
      <c r="S31" s="17">
        <f>IF($C31=1,0,$U30)</f>
        <v/>
      </c>
      <c r="T31" s="17">
        <f>MAX(0,$R31-$S31)</f>
        <v/>
      </c>
      <c r="U31" s="17">
        <f>$S31+$T31</f>
        <v/>
      </c>
      <c r="V31" s="17">
        <f>MAX(0,$U31-$R31)</f>
        <v/>
      </c>
      <c r="W31">
        <f>IF($B31="","",IF($L31&lt;=0,"Tier 1","Tier "&amp;COUNTIF('Plan setup'!$B$10:$B$13,"&lt;="&amp;$M31)))</f>
        <v/>
      </c>
      <c r="X31" s="16">
        <f>IF($L31&gt;0,$R31/$L31,0)</f>
        <v/>
      </c>
    </row>
    <row r="32">
      <c r="A32">
        <f>INT((ROW()-2)/12)+1</f>
        <v/>
      </c>
      <c r="B32">
        <f>IF(INDEX('Plan setup'!$A$25:$A$34,$A32)="","",INDEX('Plan setup'!$A$25:$A$34,$A32))</f>
        <v/>
      </c>
      <c r="C32">
        <f>MOD(ROW()-2,12)+1</f>
        <v/>
      </c>
      <c r="D32" s="24">
        <f>EDATE('Plan setup'!$B$3,$C32-1)</f>
        <v/>
      </c>
      <c r="E32" s="24">
        <f>EDATE('Plan setup'!$B$3,$C32)-1</f>
        <v/>
      </c>
      <c r="F32">
        <f>$B32&amp;"|"&amp;$C32</f>
        <v/>
      </c>
      <c r="G32" s="17">
        <f>IF($B32="",0,IFERROR(INDEX('Plan setup'!$C$25:$C$34,$A32)*1,0))</f>
        <v/>
      </c>
      <c r="H32" s="16">
        <f>IF($B32="",0,IFERROR(INDEX('Plan setup'!$E$25:$E$34,$A32)*1,0))</f>
        <v/>
      </c>
      <c r="I32" s="17">
        <f>IF($B32="",0,SUMIFS(Deals!$N$2:$N$301,Deals!$F$2:$F$301,$B32,Deals!$B$2:$B$301,"&gt;="&amp;$D32,Deals!$B$2:$B$301,"&lt;="&amp;$E32)+SUMIFS(Deals!$O$2:$O$301,Deals!$H$2:$H$301,$B32,Deals!$B$2:$B$301,"&gt;="&amp;$D32,Deals!$B$2:$B$301,"&lt;="&amp;$E32))</f>
        <v/>
      </c>
      <c r="J32" s="17">
        <f>IF($B32="",0,SUMIFS(Deals!$N$2:$N$301,Deals!$F$2:$F$301,$B32,Deals!$Q$2:$Q$301,"&gt;="&amp;$D32,Deals!$Q$2:$Q$301,"&lt;="&amp;$E32)+SUMIFS(Deals!$O$2:$O$301,Deals!$H$2:$H$301,$B32,Deals!$Q$2:$Q$301,"&gt;="&amp;$D32,Deals!$Q$2:$Q$301,"&lt;="&amp;$E32))</f>
        <v/>
      </c>
      <c r="K32" s="17">
        <f>$I32-$J32</f>
        <v/>
      </c>
      <c r="L32" s="17">
        <f>IF($C32=1,$K32,$L31+$K32)</f>
        <v/>
      </c>
      <c r="M32" s="25">
        <f>IF($G32&gt;0,$L32/$G32,0)</f>
        <v/>
      </c>
      <c r="N32" s="17">
        <f>IF('Plan setup'!$B$10="",0,MAX(0,MIN(MAX($L32,0),IF('Plan setup'!$C$10="",9E+15,'Plan setup'!$C$10*$G32))-'Plan setup'!$B$10*$G32))</f>
        <v/>
      </c>
      <c r="O32" s="17">
        <f>IF('Plan setup'!$B$11="",0,MAX(0,MIN(MAX($L32,0),IF('Plan setup'!$C$11="",9E+15,'Plan setup'!$C$11*$G32))-'Plan setup'!$B$11*$G32))</f>
        <v/>
      </c>
      <c r="P32" s="17">
        <f>IF('Plan setup'!$B$12="",0,MAX(0,MIN(MAX($L32,0),IF('Plan setup'!$C$12="",9E+15,'Plan setup'!$C$12*$G32))-'Plan setup'!$B$12*$G32))</f>
        <v/>
      </c>
      <c r="Q32" s="17">
        <f>IF('Plan setup'!$B$13="",0,MAX(0,MIN(MAX($L32,0),IF('Plan setup'!$C$13="",9E+15,'Plan setup'!$C$13*$G32))-'Plan setup'!$B$13*$G32))</f>
        <v/>
      </c>
      <c r="R32" s="17">
        <f>$H32*($N32*N('Plan setup'!$D$10)+$O32*N('Plan setup'!$D$11)+$P32*N('Plan setup'!$D$12)+$Q32*N('Plan setup'!$D$13))</f>
        <v/>
      </c>
      <c r="S32" s="17">
        <f>IF($C32=1,0,$U31)</f>
        <v/>
      </c>
      <c r="T32" s="17">
        <f>MAX(0,$R32-$S32)</f>
        <v/>
      </c>
      <c r="U32" s="17">
        <f>$S32+$T32</f>
        <v/>
      </c>
      <c r="V32" s="17">
        <f>MAX(0,$U32-$R32)</f>
        <v/>
      </c>
      <c r="W32">
        <f>IF($B32="","",IF($L32&lt;=0,"Tier 1","Tier "&amp;COUNTIF('Plan setup'!$B$10:$B$13,"&lt;="&amp;$M32)))</f>
        <v/>
      </c>
      <c r="X32" s="16">
        <f>IF($L32&gt;0,$R32/$L32,0)</f>
        <v/>
      </c>
    </row>
    <row r="33">
      <c r="A33">
        <f>INT((ROW()-2)/12)+1</f>
        <v/>
      </c>
      <c r="B33">
        <f>IF(INDEX('Plan setup'!$A$25:$A$34,$A33)="","",INDEX('Plan setup'!$A$25:$A$34,$A33))</f>
        <v/>
      </c>
      <c r="C33">
        <f>MOD(ROW()-2,12)+1</f>
        <v/>
      </c>
      <c r="D33" s="24">
        <f>EDATE('Plan setup'!$B$3,$C33-1)</f>
        <v/>
      </c>
      <c r="E33" s="24">
        <f>EDATE('Plan setup'!$B$3,$C33)-1</f>
        <v/>
      </c>
      <c r="F33">
        <f>$B33&amp;"|"&amp;$C33</f>
        <v/>
      </c>
      <c r="G33" s="17">
        <f>IF($B33="",0,IFERROR(INDEX('Plan setup'!$C$25:$C$34,$A33)*1,0))</f>
        <v/>
      </c>
      <c r="H33" s="16">
        <f>IF($B33="",0,IFERROR(INDEX('Plan setup'!$E$25:$E$34,$A33)*1,0))</f>
        <v/>
      </c>
      <c r="I33" s="17">
        <f>IF($B33="",0,SUMIFS(Deals!$N$2:$N$301,Deals!$F$2:$F$301,$B33,Deals!$B$2:$B$301,"&gt;="&amp;$D33,Deals!$B$2:$B$301,"&lt;="&amp;$E33)+SUMIFS(Deals!$O$2:$O$301,Deals!$H$2:$H$301,$B33,Deals!$B$2:$B$301,"&gt;="&amp;$D33,Deals!$B$2:$B$301,"&lt;="&amp;$E33))</f>
        <v/>
      </c>
      <c r="J33" s="17">
        <f>IF($B33="",0,SUMIFS(Deals!$N$2:$N$301,Deals!$F$2:$F$301,$B33,Deals!$Q$2:$Q$301,"&gt;="&amp;$D33,Deals!$Q$2:$Q$301,"&lt;="&amp;$E33)+SUMIFS(Deals!$O$2:$O$301,Deals!$H$2:$H$301,$B33,Deals!$Q$2:$Q$301,"&gt;="&amp;$D33,Deals!$Q$2:$Q$301,"&lt;="&amp;$E33))</f>
        <v/>
      </c>
      <c r="K33" s="17">
        <f>$I33-$J33</f>
        <v/>
      </c>
      <c r="L33" s="17">
        <f>IF($C33=1,$K33,$L32+$K33)</f>
        <v/>
      </c>
      <c r="M33" s="25">
        <f>IF($G33&gt;0,$L33/$G33,0)</f>
        <v/>
      </c>
      <c r="N33" s="17">
        <f>IF('Plan setup'!$B$10="",0,MAX(0,MIN(MAX($L33,0),IF('Plan setup'!$C$10="",9E+15,'Plan setup'!$C$10*$G33))-'Plan setup'!$B$10*$G33))</f>
        <v/>
      </c>
      <c r="O33" s="17">
        <f>IF('Plan setup'!$B$11="",0,MAX(0,MIN(MAX($L33,0),IF('Plan setup'!$C$11="",9E+15,'Plan setup'!$C$11*$G33))-'Plan setup'!$B$11*$G33))</f>
        <v/>
      </c>
      <c r="P33" s="17">
        <f>IF('Plan setup'!$B$12="",0,MAX(0,MIN(MAX($L33,0),IF('Plan setup'!$C$12="",9E+15,'Plan setup'!$C$12*$G33))-'Plan setup'!$B$12*$G33))</f>
        <v/>
      </c>
      <c r="Q33" s="17">
        <f>IF('Plan setup'!$B$13="",0,MAX(0,MIN(MAX($L33,0),IF('Plan setup'!$C$13="",9E+15,'Plan setup'!$C$13*$G33))-'Plan setup'!$B$13*$G33))</f>
        <v/>
      </c>
      <c r="R33" s="17">
        <f>$H33*($N33*N('Plan setup'!$D$10)+$O33*N('Plan setup'!$D$11)+$P33*N('Plan setup'!$D$12)+$Q33*N('Plan setup'!$D$13))</f>
        <v/>
      </c>
      <c r="S33" s="17">
        <f>IF($C33=1,0,$U32)</f>
        <v/>
      </c>
      <c r="T33" s="17">
        <f>MAX(0,$R33-$S33)</f>
        <v/>
      </c>
      <c r="U33" s="17">
        <f>$S33+$T33</f>
        <v/>
      </c>
      <c r="V33" s="17">
        <f>MAX(0,$U33-$R33)</f>
        <v/>
      </c>
      <c r="W33">
        <f>IF($B33="","",IF($L33&lt;=0,"Tier 1","Tier "&amp;COUNTIF('Plan setup'!$B$10:$B$13,"&lt;="&amp;$M33)))</f>
        <v/>
      </c>
      <c r="X33" s="16">
        <f>IF($L33&gt;0,$R33/$L33,0)</f>
        <v/>
      </c>
    </row>
    <row r="34">
      <c r="A34">
        <f>INT((ROW()-2)/12)+1</f>
        <v/>
      </c>
      <c r="B34">
        <f>IF(INDEX('Plan setup'!$A$25:$A$34,$A34)="","",INDEX('Plan setup'!$A$25:$A$34,$A34))</f>
        <v/>
      </c>
      <c r="C34">
        <f>MOD(ROW()-2,12)+1</f>
        <v/>
      </c>
      <c r="D34" s="24">
        <f>EDATE('Plan setup'!$B$3,$C34-1)</f>
        <v/>
      </c>
      <c r="E34" s="24">
        <f>EDATE('Plan setup'!$B$3,$C34)-1</f>
        <v/>
      </c>
      <c r="F34">
        <f>$B34&amp;"|"&amp;$C34</f>
        <v/>
      </c>
      <c r="G34" s="17">
        <f>IF($B34="",0,IFERROR(INDEX('Plan setup'!$C$25:$C$34,$A34)*1,0))</f>
        <v/>
      </c>
      <c r="H34" s="16">
        <f>IF($B34="",0,IFERROR(INDEX('Plan setup'!$E$25:$E$34,$A34)*1,0))</f>
        <v/>
      </c>
      <c r="I34" s="17">
        <f>IF($B34="",0,SUMIFS(Deals!$N$2:$N$301,Deals!$F$2:$F$301,$B34,Deals!$B$2:$B$301,"&gt;="&amp;$D34,Deals!$B$2:$B$301,"&lt;="&amp;$E34)+SUMIFS(Deals!$O$2:$O$301,Deals!$H$2:$H$301,$B34,Deals!$B$2:$B$301,"&gt;="&amp;$D34,Deals!$B$2:$B$301,"&lt;="&amp;$E34))</f>
        <v/>
      </c>
      <c r="J34" s="17">
        <f>IF($B34="",0,SUMIFS(Deals!$N$2:$N$301,Deals!$F$2:$F$301,$B34,Deals!$Q$2:$Q$301,"&gt;="&amp;$D34,Deals!$Q$2:$Q$301,"&lt;="&amp;$E34)+SUMIFS(Deals!$O$2:$O$301,Deals!$H$2:$H$301,$B34,Deals!$Q$2:$Q$301,"&gt;="&amp;$D34,Deals!$Q$2:$Q$301,"&lt;="&amp;$E34))</f>
        <v/>
      </c>
      <c r="K34" s="17">
        <f>$I34-$J34</f>
        <v/>
      </c>
      <c r="L34" s="17">
        <f>IF($C34=1,$K34,$L33+$K34)</f>
        <v/>
      </c>
      <c r="M34" s="25">
        <f>IF($G34&gt;0,$L34/$G34,0)</f>
        <v/>
      </c>
      <c r="N34" s="17">
        <f>IF('Plan setup'!$B$10="",0,MAX(0,MIN(MAX($L34,0),IF('Plan setup'!$C$10="",9E+15,'Plan setup'!$C$10*$G34))-'Plan setup'!$B$10*$G34))</f>
        <v/>
      </c>
      <c r="O34" s="17">
        <f>IF('Plan setup'!$B$11="",0,MAX(0,MIN(MAX($L34,0),IF('Plan setup'!$C$11="",9E+15,'Plan setup'!$C$11*$G34))-'Plan setup'!$B$11*$G34))</f>
        <v/>
      </c>
      <c r="P34" s="17">
        <f>IF('Plan setup'!$B$12="",0,MAX(0,MIN(MAX($L34,0),IF('Plan setup'!$C$12="",9E+15,'Plan setup'!$C$12*$G34))-'Plan setup'!$B$12*$G34))</f>
        <v/>
      </c>
      <c r="Q34" s="17">
        <f>IF('Plan setup'!$B$13="",0,MAX(0,MIN(MAX($L34,0),IF('Plan setup'!$C$13="",9E+15,'Plan setup'!$C$13*$G34))-'Plan setup'!$B$13*$G34))</f>
        <v/>
      </c>
      <c r="R34" s="17">
        <f>$H34*($N34*N('Plan setup'!$D$10)+$O34*N('Plan setup'!$D$11)+$P34*N('Plan setup'!$D$12)+$Q34*N('Plan setup'!$D$13))</f>
        <v/>
      </c>
      <c r="S34" s="17">
        <f>IF($C34=1,0,$U33)</f>
        <v/>
      </c>
      <c r="T34" s="17">
        <f>MAX(0,$R34-$S34)</f>
        <v/>
      </c>
      <c r="U34" s="17">
        <f>$S34+$T34</f>
        <v/>
      </c>
      <c r="V34" s="17">
        <f>MAX(0,$U34-$R34)</f>
        <v/>
      </c>
      <c r="W34">
        <f>IF($B34="","",IF($L34&lt;=0,"Tier 1","Tier "&amp;COUNTIF('Plan setup'!$B$10:$B$13,"&lt;="&amp;$M34)))</f>
        <v/>
      </c>
      <c r="X34" s="16">
        <f>IF($L34&gt;0,$R34/$L34,0)</f>
        <v/>
      </c>
    </row>
    <row r="35">
      <c r="A35">
        <f>INT((ROW()-2)/12)+1</f>
        <v/>
      </c>
      <c r="B35">
        <f>IF(INDEX('Plan setup'!$A$25:$A$34,$A35)="","",INDEX('Plan setup'!$A$25:$A$34,$A35))</f>
        <v/>
      </c>
      <c r="C35">
        <f>MOD(ROW()-2,12)+1</f>
        <v/>
      </c>
      <c r="D35" s="24">
        <f>EDATE('Plan setup'!$B$3,$C35-1)</f>
        <v/>
      </c>
      <c r="E35" s="24">
        <f>EDATE('Plan setup'!$B$3,$C35)-1</f>
        <v/>
      </c>
      <c r="F35">
        <f>$B35&amp;"|"&amp;$C35</f>
        <v/>
      </c>
      <c r="G35" s="17">
        <f>IF($B35="",0,IFERROR(INDEX('Plan setup'!$C$25:$C$34,$A35)*1,0))</f>
        <v/>
      </c>
      <c r="H35" s="16">
        <f>IF($B35="",0,IFERROR(INDEX('Plan setup'!$E$25:$E$34,$A35)*1,0))</f>
        <v/>
      </c>
      <c r="I35" s="17">
        <f>IF($B35="",0,SUMIFS(Deals!$N$2:$N$301,Deals!$F$2:$F$301,$B35,Deals!$B$2:$B$301,"&gt;="&amp;$D35,Deals!$B$2:$B$301,"&lt;="&amp;$E35)+SUMIFS(Deals!$O$2:$O$301,Deals!$H$2:$H$301,$B35,Deals!$B$2:$B$301,"&gt;="&amp;$D35,Deals!$B$2:$B$301,"&lt;="&amp;$E35))</f>
        <v/>
      </c>
      <c r="J35" s="17">
        <f>IF($B35="",0,SUMIFS(Deals!$N$2:$N$301,Deals!$F$2:$F$301,$B35,Deals!$Q$2:$Q$301,"&gt;="&amp;$D35,Deals!$Q$2:$Q$301,"&lt;="&amp;$E35)+SUMIFS(Deals!$O$2:$O$301,Deals!$H$2:$H$301,$B35,Deals!$Q$2:$Q$301,"&gt;="&amp;$D35,Deals!$Q$2:$Q$301,"&lt;="&amp;$E35))</f>
        <v/>
      </c>
      <c r="K35" s="17">
        <f>$I35-$J35</f>
        <v/>
      </c>
      <c r="L35" s="17">
        <f>IF($C35=1,$K35,$L34+$K35)</f>
        <v/>
      </c>
      <c r="M35" s="25">
        <f>IF($G35&gt;0,$L35/$G35,0)</f>
        <v/>
      </c>
      <c r="N35" s="17">
        <f>IF('Plan setup'!$B$10="",0,MAX(0,MIN(MAX($L35,0),IF('Plan setup'!$C$10="",9E+15,'Plan setup'!$C$10*$G35))-'Plan setup'!$B$10*$G35))</f>
        <v/>
      </c>
      <c r="O35" s="17">
        <f>IF('Plan setup'!$B$11="",0,MAX(0,MIN(MAX($L35,0),IF('Plan setup'!$C$11="",9E+15,'Plan setup'!$C$11*$G35))-'Plan setup'!$B$11*$G35))</f>
        <v/>
      </c>
      <c r="P35" s="17">
        <f>IF('Plan setup'!$B$12="",0,MAX(0,MIN(MAX($L35,0),IF('Plan setup'!$C$12="",9E+15,'Plan setup'!$C$12*$G35))-'Plan setup'!$B$12*$G35))</f>
        <v/>
      </c>
      <c r="Q35" s="17">
        <f>IF('Plan setup'!$B$13="",0,MAX(0,MIN(MAX($L35,0),IF('Plan setup'!$C$13="",9E+15,'Plan setup'!$C$13*$G35))-'Plan setup'!$B$13*$G35))</f>
        <v/>
      </c>
      <c r="R35" s="17">
        <f>$H35*($N35*N('Plan setup'!$D$10)+$O35*N('Plan setup'!$D$11)+$P35*N('Plan setup'!$D$12)+$Q35*N('Plan setup'!$D$13))</f>
        <v/>
      </c>
      <c r="S35" s="17">
        <f>IF($C35=1,0,$U34)</f>
        <v/>
      </c>
      <c r="T35" s="17">
        <f>MAX(0,$R35-$S35)</f>
        <v/>
      </c>
      <c r="U35" s="17">
        <f>$S35+$T35</f>
        <v/>
      </c>
      <c r="V35" s="17">
        <f>MAX(0,$U35-$R35)</f>
        <v/>
      </c>
      <c r="W35">
        <f>IF($B35="","",IF($L35&lt;=0,"Tier 1","Tier "&amp;COUNTIF('Plan setup'!$B$10:$B$13,"&lt;="&amp;$M35)))</f>
        <v/>
      </c>
      <c r="X35" s="16">
        <f>IF($L35&gt;0,$R35/$L35,0)</f>
        <v/>
      </c>
    </row>
    <row r="36">
      <c r="A36">
        <f>INT((ROW()-2)/12)+1</f>
        <v/>
      </c>
      <c r="B36">
        <f>IF(INDEX('Plan setup'!$A$25:$A$34,$A36)="","",INDEX('Plan setup'!$A$25:$A$34,$A36))</f>
        <v/>
      </c>
      <c r="C36">
        <f>MOD(ROW()-2,12)+1</f>
        <v/>
      </c>
      <c r="D36" s="24">
        <f>EDATE('Plan setup'!$B$3,$C36-1)</f>
        <v/>
      </c>
      <c r="E36" s="24">
        <f>EDATE('Plan setup'!$B$3,$C36)-1</f>
        <v/>
      </c>
      <c r="F36">
        <f>$B36&amp;"|"&amp;$C36</f>
        <v/>
      </c>
      <c r="G36" s="17">
        <f>IF($B36="",0,IFERROR(INDEX('Plan setup'!$C$25:$C$34,$A36)*1,0))</f>
        <v/>
      </c>
      <c r="H36" s="16">
        <f>IF($B36="",0,IFERROR(INDEX('Plan setup'!$E$25:$E$34,$A36)*1,0))</f>
        <v/>
      </c>
      <c r="I36" s="17">
        <f>IF($B36="",0,SUMIFS(Deals!$N$2:$N$301,Deals!$F$2:$F$301,$B36,Deals!$B$2:$B$301,"&gt;="&amp;$D36,Deals!$B$2:$B$301,"&lt;="&amp;$E36)+SUMIFS(Deals!$O$2:$O$301,Deals!$H$2:$H$301,$B36,Deals!$B$2:$B$301,"&gt;="&amp;$D36,Deals!$B$2:$B$301,"&lt;="&amp;$E36))</f>
        <v/>
      </c>
      <c r="J36" s="17">
        <f>IF($B36="",0,SUMIFS(Deals!$N$2:$N$301,Deals!$F$2:$F$301,$B36,Deals!$Q$2:$Q$301,"&gt;="&amp;$D36,Deals!$Q$2:$Q$301,"&lt;="&amp;$E36)+SUMIFS(Deals!$O$2:$O$301,Deals!$H$2:$H$301,$B36,Deals!$Q$2:$Q$301,"&gt;="&amp;$D36,Deals!$Q$2:$Q$301,"&lt;="&amp;$E36))</f>
        <v/>
      </c>
      <c r="K36" s="17">
        <f>$I36-$J36</f>
        <v/>
      </c>
      <c r="L36" s="17">
        <f>IF($C36=1,$K36,$L35+$K36)</f>
        <v/>
      </c>
      <c r="M36" s="25">
        <f>IF($G36&gt;0,$L36/$G36,0)</f>
        <v/>
      </c>
      <c r="N36" s="17">
        <f>IF('Plan setup'!$B$10="",0,MAX(0,MIN(MAX($L36,0),IF('Plan setup'!$C$10="",9E+15,'Plan setup'!$C$10*$G36))-'Plan setup'!$B$10*$G36))</f>
        <v/>
      </c>
      <c r="O36" s="17">
        <f>IF('Plan setup'!$B$11="",0,MAX(0,MIN(MAX($L36,0),IF('Plan setup'!$C$11="",9E+15,'Plan setup'!$C$11*$G36))-'Plan setup'!$B$11*$G36))</f>
        <v/>
      </c>
      <c r="P36" s="17">
        <f>IF('Plan setup'!$B$12="",0,MAX(0,MIN(MAX($L36,0),IF('Plan setup'!$C$12="",9E+15,'Plan setup'!$C$12*$G36))-'Plan setup'!$B$12*$G36))</f>
        <v/>
      </c>
      <c r="Q36" s="17">
        <f>IF('Plan setup'!$B$13="",0,MAX(0,MIN(MAX($L36,0),IF('Plan setup'!$C$13="",9E+15,'Plan setup'!$C$13*$G36))-'Plan setup'!$B$13*$G36))</f>
        <v/>
      </c>
      <c r="R36" s="17">
        <f>$H36*($N36*N('Plan setup'!$D$10)+$O36*N('Plan setup'!$D$11)+$P36*N('Plan setup'!$D$12)+$Q36*N('Plan setup'!$D$13))</f>
        <v/>
      </c>
      <c r="S36" s="17">
        <f>IF($C36=1,0,$U35)</f>
        <v/>
      </c>
      <c r="T36" s="17">
        <f>MAX(0,$R36-$S36)</f>
        <v/>
      </c>
      <c r="U36" s="17">
        <f>$S36+$T36</f>
        <v/>
      </c>
      <c r="V36" s="17">
        <f>MAX(0,$U36-$R36)</f>
        <v/>
      </c>
      <c r="W36">
        <f>IF($B36="","",IF($L36&lt;=0,"Tier 1","Tier "&amp;COUNTIF('Plan setup'!$B$10:$B$13,"&lt;="&amp;$M36)))</f>
        <v/>
      </c>
      <c r="X36" s="16">
        <f>IF($L36&gt;0,$R36/$L36,0)</f>
        <v/>
      </c>
    </row>
    <row r="37">
      <c r="A37">
        <f>INT((ROW()-2)/12)+1</f>
        <v/>
      </c>
      <c r="B37">
        <f>IF(INDEX('Plan setup'!$A$25:$A$34,$A37)="","",INDEX('Plan setup'!$A$25:$A$34,$A37))</f>
        <v/>
      </c>
      <c r="C37">
        <f>MOD(ROW()-2,12)+1</f>
        <v/>
      </c>
      <c r="D37" s="24">
        <f>EDATE('Plan setup'!$B$3,$C37-1)</f>
        <v/>
      </c>
      <c r="E37" s="24">
        <f>EDATE('Plan setup'!$B$3,$C37)-1</f>
        <v/>
      </c>
      <c r="F37">
        <f>$B37&amp;"|"&amp;$C37</f>
        <v/>
      </c>
      <c r="G37" s="17">
        <f>IF($B37="",0,IFERROR(INDEX('Plan setup'!$C$25:$C$34,$A37)*1,0))</f>
        <v/>
      </c>
      <c r="H37" s="16">
        <f>IF($B37="",0,IFERROR(INDEX('Plan setup'!$E$25:$E$34,$A37)*1,0))</f>
        <v/>
      </c>
      <c r="I37" s="17">
        <f>IF($B37="",0,SUMIFS(Deals!$N$2:$N$301,Deals!$F$2:$F$301,$B37,Deals!$B$2:$B$301,"&gt;="&amp;$D37,Deals!$B$2:$B$301,"&lt;="&amp;$E37)+SUMIFS(Deals!$O$2:$O$301,Deals!$H$2:$H$301,$B37,Deals!$B$2:$B$301,"&gt;="&amp;$D37,Deals!$B$2:$B$301,"&lt;="&amp;$E37))</f>
        <v/>
      </c>
      <c r="J37" s="17">
        <f>IF($B37="",0,SUMIFS(Deals!$N$2:$N$301,Deals!$F$2:$F$301,$B37,Deals!$Q$2:$Q$301,"&gt;="&amp;$D37,Deals!$Q$2:$Q$301,"&lt;="&amp;$E37)+SUMIFS(Deals!$O$2:$O$301,Deals!$H$2:$H$301,$B37,Deals!$Q$2:$Q$301,"&gt;="&amp;$D37,Deals!$Q$2:$Q$301,"&lt;="&amp;$E37))</f>
        <v/>
      </c>
      <c r="K37" s="17">
        <f>$I37-$J37</f>
        <v/>
      </c>
      <c r="L37" s="17">
        <f>IF($C37=1,$K37,$L36+$K37)</f>
        <v/>
      </c>
      <c r="M37" s="25">
        <f>IF($G37&gt;0,$L37/$G37,0)</f>
        <v/>
      </c>
      <c r="N37" s="17">
        <f>IF('Plan setup'!$B$10="",0,MAX(0,MIN(MAX($L37,0),IF('Plan setup'!$C$10="",9E+15,'Plan setup'!$C$10*$G37))-'Plan setup'!$B$10*$G37))</f>
        <v/>
      </c>
      <c r="O37" s="17">
        <f>IF('Plan setup'!$B$11="",0,MAX(0,MIN(MAX($L37,0),IF('Plan setup'!$C$11="",9E+15,'Plan setup'!$C$11*$G37))-'Plan setup'!$B$11*$G37))</f>
        <v/>
      </c>
      <c r="P37" s="17">
        <f>IF('Plan setup'!$B$12="",0,MAX(0,MIN(MAX($L37,0),IF('Plan setup'!$C$12="",9E+15,'Plan setup'!$C$12*$G37))-'Plan setup'!$B$12*$G37))</f>
        <v/>
      </c>
      <c r="Q37" s="17">
        <f>IF('Plan setup'!$B$13="",0,MAX(0,MIN(MAX($L37,0),IF('Plan setup'!$C$13="",9E+15,'Plan setup'!$C$13*$G37))-'Plan setup'!$B$13*$G37))</f>
        <v/>
      </c>
      <c r="R37" s="17">
        <f>$H37*($N37*N('Plan setup'!$D$10)+$O37*N('Plan setup'!$D$11)+$P37*N('Plan setup'!$D$12)+$Q37*N('Plan setup'!$D$13))</f>
        <v/>
      </c>
      <c r="S37" s="17">
        <f>IF($C37=1,0,$U36)</f>
        <v/>
      </c>
      <c r="T37" s="17">
        <f>MAX(0,$R37-$S37)</f>
        <v/>
      </c>
      <c r="U37" s="17">
        <f>$S37+$T37</f>
        <v/>
      </c>
      <c r="V37" s="17">
        <f>MAX(0,$U37-$R37)</f>
        <v/>
      </c>
      <c r="W37">
        <f>IF($B37="","",IF($L37&lt;=0,"Tier 1","Tier "&amp;COUNTIF('Plan setup'!$B$10:$B$13,"&lt;="&amp;$M37)))</f>
        <v/>
      </c>
      <c r="X37" s="16">
        <f>IF($L37&gt;0,$R37/$L37,0)</f>
        <v/>
      </c>
    </row>
    <row r="38">
      <c r="A38">
        <f>INT((ROW()-2)/12)+1</f>
        <v/>
      </c>
      <c r="B38">
        <f>IF(INDEX('Plan setup'!$A$25:$A$34,$A38)="","",INDEX('Plan setup'!$A$25:$A$34,$A38))</f>
        <v/>
      </c>
      <c r="C38">
        <f>MOD(ROW()-2,12)+1</f>
        <v/>
      </c>
      <c r="D38" s="24">
        <f>EDATE('Plan setup'!$B$3,$C38-1)</f>
        <v/>
      </c>
      <c r="E38" s="24">
        <f>EDATE('Plan setup'!$B$3,$C38)-1</f>
        <v/>
      </c>
      <c r="F38">
        <f>$B38&amp;"|"&amp;$C38</f>
        <v/>
      </c>
      <c r="G38" s="17">
        <f>IF($B38="",0,IFERROR(INDEX('Plan setup'!$C$25:$C$34,$A38)*1,0))</f>
        <v/>
      </c>
      <c r="H38" s="16">
        <f>IF($B38="",0,IFERROR(INDEX('Plan setup'!$E$25:$E$34,$A38)*1,0))</f>
        <v/>
      </c>
      <c r="I38" s="17">
        <f>IF($B38="",0,SUMIFS(Deals!$N$2:$N$301,Deals!$F$2:$F$301,$B38,Deals!$B$2:$B$301,"&gt;="&amp;$D38,Deals!$B$2:$B$301,"&lt;="&amp;$E38)+SUMIFS(Deals!$O$2:$O$301,Deals!$H$2:$H$301,$B38,Deals!$B$2:$B$301,"&gt;="&amp;$D38,Deals!$B$2:$B$301,"&lt;="&amp;$E38))</f>
        <v/>
      </c>
      <c r="J38" s="17">
        <f>IF($B38="",0,SUMIFS(Deals!$N$2:$N$301,Deals!$F$2:$F$301,$B38,Deals!$Q$2:$Q$301,"&gt;="&amp;$D38,Deals!$Q$2:$Q$301,"&lt;="&amp;$E38)+SUMIFS(Deals!$O$2:$O$301,Deals!$H$2:$H$301,$B38,Deals!$Q$2:$Q$301,"&gt;="&amp;$D38,Deals!$Q$2:$Q$301,"&lt;="&amp;$E38))</f>
        <v/>
      </c>
      <c r="K38" s="17">
        <f>$I38-$J38</f>
        <v/>
      </c>
      <c r="L38" s="17">
        <f>IF($C38=1,$K38,$L37+$K38)</f>
        <v/>
      </c>
      <c r="M38" s="25">
        <f>IF($G38&gt;0,$L38/$G38,0)</f>
        <v/>
      </c>
      <c r="N38" s="17">
        <f>IF('Plan setup'!$B$10="",0,MAX(0,MIN(MAX($L38,0),IF('Plan setup'!$C$10="",9E+15,'Plan setup'!$C$10*$G38))-'Plan setup'!$B$10*$G38))</f>
        <v/>
      </c>
      <c r="O38" s="17">
        <f>IF('Plan setup'!$B$11="",0,MAX(0,MIN(MAX($L38,0),IF('Plan setup'!$C$11="",9E+15,'Plan setup'!$C$11*$G38))-'Plan setup'!$B$11*$G38))</f>
        <v/>
      </c>
      <c r="P38" s="17">
        <f>IF('Plan setup'!$B$12="",0,MAX(0,MIN(MAX($L38,0),IF('Plan setup'!$C$12="",9E+15,'Plan setup'!$C$12*$G38))-'Plan setup'!$B$12*$G38))</f>
        <v/>
      </c>
      <c r="Q38" s="17">
        <f>IF('Plan setup'!$B$13="",0,MAX(0,MIN(MAX($L38,0),IF('Plan setup'!$C$13="",9E+15,'Plan setup'!$C$13*$G38))-'Plan setup'!$B$13*$G38))</f>
        <v/>
      </c>
      <c r="R38" s="17">
        <f>$H38*($N38*N('Plan setup'!$D$10)+$O38*N('Plan setup'!$D$11)+$P38*N('Plan setup'!$D$12)+$Q38*N('Plan setup'!$D$13))</f>
        <v/>
      </c>
      <c r="S38" s="17">
        <f>IF($C38=1,0,$U37)</f>
        <v/>
      </c>
      <c r="T38" s="17">
        <f>MAX(0,$R38-$S38)</f>
        <v/>
      </c>
      <c r="U38" s="17">
        <f>$S38+$T38</f>
        <v/>
      </c>
      <c r="V38" s="17">
        <f>MAX(0,$U38-$R38)</f>
        <v/>
      </c>
      <c r="W38">
        <f>IF($B38="","",IF($L38&lt;=0,"Tier 1","Tier "&amp;COUNTIF('Plan setup'!$B$10:$B$13,"&lt;="&amp;$M38)))</f>
        <v/>
      </c>
      <c r="X38" s="16">
        <f>IF($L38&gt;0,$R38/$L38,0)</f>
        <v/>
      </c>
    </row>
    <row r="39">
      <c r="A39">
        <f>INT((ROW()-2)/12)+1</f>
        <v/>
      </c>
      <c r="B39">
        <f>IF(INDEX('Plan setup'!$A$25:$A$34,$A39)="","",INDEX('Plan setup'!$A$25:$A$34,$A39))</f>
        <v/>
      </c>
      <c r="C39">
        <f>MOD(ROW()-2,12)+1</f>
        <v/>
      </c>
      <c r="D39" s="24">
        <f>EDATE('Plan setup'!$B$3,$C39-1)</f>
        <v/>
      </c>
      <c r="E39" s="24">
        <f>EDATE('Plan setup'!$B$3,$C39)-1</f>
        <v/>
      </c>
      <c r="F39">
        <f>$B39&amp;"|"&amp;$C39</f>
        <v/>
      </c>
      <c r="G39" s="17">
        <f>IF($B39="",0,IFERROR(INDEX('Plan setup'!$C$25:$C$34,$A39)*1,0))</f>
        <v/>
      </c>
      <c r="H39" s="16">
        <f>IF($B39="",0,IFERROR(INDEX('Plan setup'!$E$25:$E$34,$A39)*1,0))</f>
        <v/>
      </c>
      <c r="I39" s="17">
        <f>IF($B39="",0,SUMIFS(Deals!$N$2:$N$301,Deals!$F$2:$F$301,$B39,Deals!$B$2:$B$301,"&gt;="&amp;$D39,Deals!$B$2:$B$301,"&lt;="&amp;$E39)+SUMIFS(Deals!$O$2:$O$301,Deals!$H$2:$H$301,$B39,Deals!$B$2:$B$301,"&gt;="&amp;$D39,Deals!$B$2:$B$301,"&lt;="&amp;$E39))</f>
        <v/>
      </c>
      <c r="J39" s="17">
        <f>IF($B39="",0,SUMIFS(Deals!$N$2:$N$301,Deals!$F$2:$F$301,$B39,Deals!$Q$2:$Q$301,"&gt;="&amp;$D39,Deals!$Q$2:$Q$301,"&lt;="&amp;$E39)+SUMIFS(Deals!$O$2:$O$301,Deals!$H$2:$H$301,$B39,Deals!$Q$2:$Q$301,"&gt;="&amp;$D39,Deals!$Q$2:$Q$301,"&lt;="&amp;$E39))</f>
        <v/>
      </c>
      <c r="K39" s="17">
        <f>$I39-$J39</f>
        <v/>
      </c>
      <c r="L39" s="17">
        <f>IF($C39=1,$K39,$L38+$K39)</f>
        <v/>
      </c>
      <c r="M39" s="25">
        <f>IF($G39&gt;0,$L39/$G39,0)</f>
        <v/>
      </c>
      <c r="N39" s="17">
        <f>IF('Plan setup'!$B$10="",0,MAX(0,MIN(MAX($L39,0),IF('Plan setup'!$C$10="",9E+15,'Plan setup'!$C$10*$G39))-'Plan setup'!$B$10*$G39))</f>
        <v/>
      </c>
      <c r="O39" s="17">
        <f>IF('Plan setup'!$B$11="",0,MAX(0,MIN(MAX($L39,0),IF('Plan setup'!$C$11="",9E+15,'Plan setup'!$C$11*$G39))-'Plan setup'!$B$11*$G39))</f>
        <v/>
      </c>
      <c r="P39" s="17">
        <f>IF('Plan setup'!$B$12="",0,MAX(0,MIN(MAX($L39,0),IF('Plan setup'!$C$12="",9E+15,'Plan setup'!$C$12*$G39))-'Plan setup'!$B$12*$G39))</f>
        <v/>
      </c>
      <c r="Q39" s="17">
        <f>IF('Plan setup'!$B$13="",0,MAX(0,MIN(MAX($L39,0),IF('Plan setup'!$C$13="",9E+15,'Plan setup'!$C$13*$G39))-'Plan setup'!$B$13*$G39))</f>
        <v/>
      </c>
      <c r="R39" s="17">
        <f>$H39*($N39*N('Plan setup'!$D$10)+$O39*N('Plan setup'!$D$11)+$P39*N('Plan setup'!$D$12)+$Q39*N('Plan setup'!$D$13))</f>
        <v/>
      </c>
      <c r="S39" s="17">
        <f>IF($C39=1,0,$U38)</f>
        <v/>
      </c>
      <c r="T39" s="17">
        <f>MAX(0,$R39-$S39)</f>
        <v/>
      </c>
      <c r="U39" s="17">
        <f>$S39+$T39</f>
        <v/>
      </c>
      <c r="V39" s="17">
        <f>MAX(0,$U39-$R39)</f>
        <v/>
      </c>
      <c r="W39">
        <f>IF($B39="","",IF($L39&lt;=0,"Tier 1","Tier "&amp;COUNTIF('Plan setup'!$B$10:$B$13,"&lt;="&amp;$M39)))</f>
        <v/>
      </c>
      <c r="X39" s="16">
        <f>IF($L39&gt;0,$R39/$L39,0)</f>
        <v/>
      </c>
    </row>
    <row r="40">
      <c r="A40">
        <f>INT((ROW()-2)/12)+1</f>
        <v/>
      </c>
      <c r="B40">
        <f>IF(INDEX('Plan setup'!$A$25:$A$34,$A40)="","",INDEX('Plan setup'!$A$25:$A$34,$A40))</f>
        <v/>
      </c>
      <c r="C40">
        <f>MOD(ROW()-2,12)+1</f>
        <v/>
      </c>
      <c r="D40" s="24">
        <f>EDATE('Plan setup'!$B$3,$C40-1)</f>
        <v/>
      </c>
      <c r="E40" s="24">
        <f>EDATE('Plan setup'!$B$3,$C40)-1</f>
        <v/>
      </c>
      <c r="F40">
        <f>$B40&amp;"|"&amp;$C40</f>
        <v/>
      </c>
      <c r="G40" s="17">
        <f>IF($B40="",0,IFERROR(INDEX('Plan setup'!$C$25:$C$34,$A40)*1,0))</f>
        <v/>
      </c>
      <c r="H40" s="16">
        <f>IF($B40="",0,IFERROR(INDEX('Plan setup'!$E$25:$E$34,$A40)*1,0))</f>
        <v/>
      </c>
      <c r="I40" s="17">
        <f>IF($B40="",0,SUMIFS(Deals!$N$2:$N$301,Deals!$F$2:$F$301,$B40,Deals!$B$2:$B$301,"&gt;="&amp;$D40,Deals!$B$2:$B$301,"&lt;="&amp;$E40)+SUMIFS(Deals!$O$2:$O$301,Deals!$H$2:$H$301,$B40,Deals!$B$2:$B$301,"&gt;="&amp;$D40,Deals!$B$2:$B$301,"&lt;="&amp;$E40))</f>
        <v/>
      </c>
      <c r="J40" s="17">
        <f>IF($B40="",0,SUMIFS(Deals!$N$2:$N$301,Deals!$F$2:$F$301,$B40,Deals!$Q$2:$Q$301,"&gt;="&amp;$D40,Deals!$Q$2:$Q$301,"&lt;="&amp;$E40)+SUMIFS(Deals!$O$2:$O$301,Deals!$H$2:$H$301,$B40,Deals!$Q$2:$Q$301,"&gt;="&amp;$D40,Deals!$Q$2:$Q$301,"&lt;="&amp;$E40))</f>
        <v/>
      </c>
      <c r="K40" s="17">
        <f>$I40-$J40</f>
        <v/>
      </c>
      <c r="L40" s="17">
        <f>IF($C40=1,$K40,$L39+$K40)</f>
        <v/>
      </c>
      <c r="M40" s="25">
        <f>IF($G40&gt;0,$L40/$G40,0)</f>
        <v/>
      </c>
      <c r="N40" s="17">
        <f>IF('Plan setup'!$B$10="",0,MAX(0,MIN(MAX($L40,0),IF('Plan setup'!$C$10="",9E+15,'Plan setup'!$C$10*$G40))-'Plan setup'!$B$10*$G40))</f>
        <v/>
      </c>
      <c r="O40" s="17">
        <f>IF('Plan setup'!$B$11="",0,MAX(0,MIN(MAX($L40,0),IF('Plan setup'!$C$11="",9E+15,'Plan setup'!$C$11*$G40))-'Plan setup'!$B$11*$G40))</f>
        <v/>
      </c>
      <c r="P40" s="17">
        <f>IF('Plan setup'!$B$12="",0,MAX(0,MIN(MAX($L40,0),IF('Plan setup'!$C$12="",9E+15,'Plan setup'!$C$12*$G40))-'Plan setup'!$B$12*$G40))</f>
        <v/>
      </c>
      <c r="Q40" s="17">
        <f>IF('Plan setup'!$B$13="",0,MAX(0,MIN(MAX($L40,0),IF('Plan setup'!$C$13="",9E+15,'Plan setup'!$C$13*$G40))-'Plan setup'!$B$13*$G40))</f>
        <v/>
      </c>
      <c r="R40" s="17">
        <f>$H40*($N40*N('Plan setup'!$D$10)+$O40*N('Plan setup'!$D$11)+$P40*N('Plan setup'!$D$12)+$Q40*N('Plan setup'!$D$13))</f>
        <v/>
      </c>
      <c r="S40" s="17">
        <f>IF($C40=1,0,$U39)</f>
        <v/>
      </c>
      <c r="T40" s="17">
        <f>MAX(0,$R40-$S40)</f>
        <v/>
      </c>
      <c r="U40" s="17">
        <f>$S40+$T40</f>
        <v/>
      </c>
      <c r="V40" s="17">
        <f>MAX(0,$U40-$R40)</f>
        <v/>
      </c>
      <c r="W40">
        <f>IF($B40="","",IF($L40&lt;=0,"Tier 1","Tier "&amp;COUNTIF('Plan setup'!$B$10:$B$13,"&lt;="&amp;$M40)))</f>
        <v/>
      </c>
      <c r="X40" s="16">
        <f>IF($L40&gt;0,$R40/$L40,0)</f>
        <v/>
      </c>
    </row>
    <row r="41">
      <c r="A41">
        <f>INT((ROW()-2)/12)+1</f>
        <v/>
      </c>
      <c r="B41">
        <f>IF(INDEX('Plan setup'!$A$25:$A$34,$A41)="","",INDEX('Plan setup'!$A$25:$A$34,$A41))</f>
        <v/>
      </c>
      <c r="C41">
        <f>MOD(ROW()-2,12)+1</f>
        <v/>
      </c>
      <c r="D41" s="24">
        <f>EDATE('Plan setup'!$B$3,$C41-1)</f>
        <v/>
      </c>
      <c r="E41" s="24">
        <f>EDATE('Plan setup'!$B$3,$C41)-1</f>
        <v/>
      </c>
      <c r="F41">
        <f>$B41&amp;"|"&amp;$C41</f>
        <v/>
      </c>
      <c r="G41" s="17">
        <f>IF($B41="",0,IFERROR(INDEX('Plan setup'!$C$25:$C$34,$A41)*1,0))</f>
        <v/>
      </c>
      <c r="H41" s="16">
        <f>IF($B41="",0,IFERROR(INDEX('Plan setup'!$E$25:$E$34,$A41)*1,0))</f>
        <v/>
      </c>
      <c r="I41" s="17">
        <f>IF($B41="",0,SUMIFS(Deals!$N$2:$N$301,Deals!$F$2:$F$301,$B41,Deals!$B$2:$B$301,"&gt;="&amp;$D41,Deals!$B$2:$B$301,"&lt;="&amp;$E41)+SUMIFS(Deals!$O$2:$O$301,Deals!$H$2:$H$301,$B41,Deals!$B$2:$B$301,"&gt;="&amp;$D41,Deals!$B$2:$B$301,"&lt;="&amp;$E41))</f>
        <v/>
      </c>
      <c r="J41" s="17">
        <f>IF($B41="",0,SUMIFS(Deals!$N$2:$N$301,Deals!$F$2:$F$301,$B41,Deals!$Q$2:$Q$301,"&gt;="&amp;$D41,Deals!$Q$2:$Q$301,"&lt;="&amp;$E41)+SUMIFS(Deals!$O$2:$O$301,Deals!$H$2:$H$301,$B41,Deals!$Q$2:$Q$301,"&gt;="&amp;$D41,Deals!$Q$2:$Q$301,"&lt;="&amp;$E41))</f>
        <v/>
      </c>
      <c r="K41" s="17">
        <f>$I41-$J41</f>
        <v/>
      </c>
      <c r="L41" s="17">
        <f>IF($C41=1,$K41,$L40+$K41)</f>
        <v/>
      </c>
      <c r="M41" s="25">
        <f>IF($G41&gt;0,$L41/$G41,0)</f>
        <v/>
      </c>
      <c r="N41" s="17">
        <f>IF('Plan setup'!$B$10="",0,MAX(0,MIN(MAX($L41,0),IF('Plan setup'!$C$10="",9E+15,'Plan setup'!$C$10*$G41))-'Plan setup'!$B$10*$G41))</f>
        <v/>
      </c>
      <c r="O41" s="17">
        <f>IF('Plan setup'!$B$11="",0,MAX(0,MIN(MAX($L41,0),IF('Plan setup'!$C$11="",9E+15,'Plan setup'!$C$11*$G41))-'Plan setup'!$B$11*$G41))</f>
        <v/>
      </c>
      <c r="P41" s="17">
        <f>IF('Plan setup'!$B$12="",0,MAX(0,MIN(MAX($L41,0),IF('Plan setup'!$C$12="",9E+15,'Plan setup'!$C$12*$G41))-'Plan setup'!$B$12*$G41))</f>
        <v/>
      </c>
      <c r="Q41" s="17">
        <f>IF('Plan setup'!$B$13="",0,MAX(0,MIN(MAX($L41,0),IF('Plan setup'!$C$13="",9E+15,'Plan setup'!$C$13*$G41))-'Plan setup'!$B$13*$G41))</f>
        <v/>
      </c>
      <c r="R41" s="17">
        <f>$H41*($N41*N('Plan setup'!$D$10)+$O41*N('Plan setup'!$D$11)+$P41*N('Plan setup'!$D$12)+$Q41*N('Plan setup'!$D$13))</f>
        <v/>
      </c>
      <c r="S41" s="17">
        <f>IF($C41=1,0,$U40)</f>
        <v/>
      </c>
      <c r="T41" s="17">
        <f>MAX(0,$R41-$S41)</f>
        <v/>
      </c>
      <c r="U41" s="17">
        <f>$S41+$T41</f>
        <v/>
      </c>
      <c r="V41" s="17">
        <f>MAX(0,$U41-$R41)</f>
        <v/>
      </c>
      <c r="W41">
        <f>IF($B41="","",IF($L41&lt;=0,"Tier 1","Tier "&amp;COUNTIF('Plan setup'!$B$10:$B$13,"&lt;="&amp;$M41)))</f>
        <v/>
      </c>
      <c r="X41" s="16">
        <f>IF($L41&gt;0,$R41/$L41,0)</f>
        <v/>
      </c>
    </row>
    <row r="42">
      <c r="A42">
        <f>INT((ROW()-2)/12)+1</f>
        <v/>
      </c>
      <c r="B42">
        <f>IF(INDEX('Plan setup'!$A$25:$A$34,$A42)="","",INDEX('Plan setup'!$A$25:$A$34,$A42))</f>
        <v/>
      </c>
      <c r="C42">
        <f>MOD(ROW()-2,12)+1</f>
        <v/>
      </c>
      <c r="D42" s="24">
        <f>EDATE('Plan setup'!$B$3,$C42-1)</f>
        <v/>
      </c>
      <c r="E42" s="24">
        <f>EDATE('Plan setup'!$B$3,$C42)-1</f>
        <v/>
      </c>
      <c r="F42">
        <f>$B42&amp;"|"&amp;$C42</f>
        <v/>
      </c>
      <c r="G42" s="17">
        <f>IF($B42="",0,IFERROR(INDEX('Plan setup'!$C$25:$C$34,$A42)*1,0))</f>
        <v/>
      </c>
      <c r="H42" s="16">
        <f>IF($B42="",0,IFERROR(INDEX('Plan setup'!$E$25:$E$34,$A42)*1,0))</f>
        <v/>
      </c>
      <c r="I42" s="17">
        <f>IF($B42="",0,SUMIFS(Deals!$N$2:$N$301,Deals!$F$2:$F$301,$B42,Deals!$B$2:$B$301,"&gt;="&amp;$D42,Deals!$B$2:$B$301,"&lt;="&amp;$E42)+SUMIFS(Deals!$O$2:$O$301,Deals!$H$2:$H$301,$B42,Deals!$B$2:$B$301,"&gt;="&amp;$D42,Deals!$B$2:$B$301,"&lt;="&amp;$E42))</f>
        <v/>
      </c>
      <c r="J42" s="17">
        <f>IF($B42="",0,SUMIFS(Deals!$N$2:$N$301,Deals!$F$2:$F$301,$B42,Deals!$Q$2:$Q$301,"&gt;="&amp;$D42,Deals!$Q$2:$Q$301,"&lt;="&amp;$E42)+SUMIFS(Deals!$O$2:$O$301,Deals!$H$2:$H$301,$B42,Deals!$Q$2:$Q$301,"&gt;="&amp;$D42,Deals!$Q$2:$Q$301,"&lt;="&amp;$E42))</f>
        <v/>
      </c>
      <c r="K42" s="17">
        <f>$I42-$J42</f>
        <v/>
      </c>
      <c r="L42" s="17">
        <f>IF($C42=1,$K42,$L41+$K42)</f>
        <v/>
      </c>
      <c r="M42" s="25">
        <f>IF($G42&gt;0,$L42/$G42,0)</f>
        <v/>
      </c>
      <c r="N42" s="17">
        <f>IF('Plan setup'!$B$10="",0,MAX(0,MIN(MAX($L42,0),IF('Plan setup'!$C$10="",9E+15,'Plan setup'!$C$10*$G42))-'Plan setup'!$B$10*$G42))</f>
        <v/>
      </c>
      <c r="O42" s="17">
        <f>IF('Plan setup'!$B$11="",0,MAX(0,MIN(MAX($L42,0),IF('Plan setup'!$C$11="",9E+15,'Plan setup'!$C$11*$G42))-'Plan setup'!$B$11*$G42))</f>
        <v/>
      </c>
      <c r="P42" s="17">
        <f>IF('Plan setup'!$B$12="",0,MAX(0,MIN(MAX($L42,0),IF('Plan setup'!$C$12="",9E+15,'Plan setup'!$C$12*$G42))-'Plan setup'!$B$12*$G42))</f>
        <v/>
      </c>
      <c r="Q42" s="17">
        <f>IF('Plan setup'!$B$13="",0,MAX(0,MIN(MAX($L42,0),IF('Plan setup'!$C$13="",9E+15,'Plan setup'!$C$13*$G42))-'Plan setup'!$B$13*$G42))</f>
        <v/>
      </c>
      <c r="R42" s="17">
        <f>$H42*($N42*N('Plan setup'!$D$10)+$O42*N('Plan setup'!$D$11)+$P42*N('Plan setup'!$D$12)+$Q42*N('Plan setup'!$D$13))</f>
        <v/>
      </c>
      <c r="S42" s="17">
        <f>IF($C42=1,0,$U41)</f>
        <v/>
      </c>
      <c r="T42" s="17">
        <f>MAX(0,$R42-$S42)</f>
        <v/>
      </c>
      <c r="U42" s="17">
        <f>$S42+$T42</f>
        <v/>
      </c>
      <c r="V42" s="17">
        <f>MAX(0,$U42-$R42)</f>
        <v/>
      </c>
      <c r="W42">
        <f>IF($B42="","",IF($L42&lt;=0,"Tier 1","Tier "&amp;COUNTIF('Plan setup'!$B$10:$B$13,"&lt;="&amp;$M42)))</f>
        <v/>
      </c>
      <c r="X42" s="16">
        <f>IF($L42&gt;0,$R42/$L42,0)</f>
        <v/>
      </c>
    </row>
    <row r="43">
      <c r="A43">
        <f>INT((ROW()-2)/12)+1</f>
        <v/>
      </c>
      <c r="B43">
        <f>IF(INDEX('Plan setup'!$A$25:$A$34,$A43)="","",INDEX('Plan setup'!$A$25:$A$34,$A43))</f>
        <v/>
      </c>
      <c r="C43">
        <f>MOD(ROW()-2,12)+1</f>
        <v/>
      </c>
      <c r="D43" s="24">
        <f>EDATE('Plan setup'!$B$3,$C43-1)</f>
        <v/>
      </c>
      <c r="E43" s="24">
        <f>EDATE('Plan setup'!$B$3,$C43)-1</f>
        <v/>
      </c>
      <c r="F43">
        <f>$B43&amp;"|"&amp;$C43</f>
        <v/>
      </c>
      <c r="G43" s="17">
        <f>IF($B43="",0,IFERROR(INDEX('Plan setup'!$C$25:$C$34,$A43)*1,0))</f>
        <v/>
      </c>
      <c r="H43" s="16">
        <f>IF($B43="",0,IFERROR(INDEX('Plan setup'!$E$25:$E$34,$A43)*1,0))</f>
        <v/>
      </c>
      <c r="I43" s="17">
        <f>IF($B43="",0,SUMIFS(Deals!$N$2:$N$301,Deals!$F$2:$F$301,$B43,Deals!$B$2:$B$301,"&gt;="&amp;$D43,Deals!$B$2:$B$301,"&lt;="&amp;$E43)+SUMIFS(Deals!$O$2:$O$301,Deals!$H$2:$H$301,$B43,Deals!$B$2:$B$301,"&gt;="&amp;$D43,Deals!$B$2:$B$301,"&lt;="&amp;$E43))</f>
        <v/>
      </c>
      <c r="J43" s="17">
        <f>IF($B43="",0,SUMIFS(Deals!$N$2:$N$301,Deals!$F$2:$F$301,$B43,Deals!$Q$2:$Q$301,"&gt;="&amp;$D43,Deals!$Q$2:$Q$301,"&lt;="&amp;$E43)+SUMIFS(Deals!$O$2:$O$301,Deals!$H$2:$H$301,$B43,Deals!$Q$2:$Q$301,"&gt;="&amp;$D43,Deals!$Q$2:$Q$301,"&lt;="&amp;$E43))</f>
        <v/>
      </c>
      <c r="K43" s="17">
        <f>$I43-$J43</f>
        <v/>
      </c>
      <c r="L43" s="17">
        <f>IF($C43=1,$K43,$L42+$K43)</f>
        <v/>
      </c>
      <c r="M43" s="25">
        <f>IF($G43&gt;0,$L43/$G43,0)</f>
        <v/>
      </c>
      <c r="N43" s="17">
        <f>IF('Plan setup'!$B$10="",0,MAX(0,MIN(MAX($L43,0),IF('Plan setup'!$C$10="",9E+15,'Plan setup'!$C$10*$G43))-'Plan setup'!$B$10*$G43))</f>
        <v/>
      </c>
      <c r="O43" s="17">
        <f>IF('Plan setup'!$B$11="",0,MAX(0,MIN(MAX($L43,0),IF('Plan setup'!$C$11="",9E+15,'Plan setup'!$C$11*$G43))-'Plan setup'!$B$11*$G43))</f>
        <v/>
      </c>
      <c r="P43" s="17">
        <f>IF('Plan setup'!$B$12="",0,MAX(0,MIN(MAX($L43,0),IF('Plan setup'!$C$12="",9E+15,'Plan setup'!$C$12*$G43))-'Plan setup'!$B$12*$G43))</f>
        <v/>
      </c>
      <c r="Q43" s="17">
        <f>IF('Plan setup'!$B$13="",0,MAX(0,MIN(MAX($L43,0),IF('Plan setup'!$C$13="",9E+15,'Plan setup'!$C$13*$G43))-'Plan setup'!$B$13*$G43))</f>
        <v/>
      </c>
      <c r="R43" s="17">
        <f>$H43*($N43*N('Plan setup'!$D$10)+$O43*N('Plan setup'!$D$11)+$P43*N('Plan setup'!$D$12)+$Q43*N('Plan setup'!$D$13))</f>
        <v/>
      </c>
      <c r="S43" s="17">
        <f>IF($C43=1,0,$U42)</f>
        <v/>
      </c>
      <c r="T43" s="17">
        <f>MAX(0,$R43-$S43)</f>
        <v/>
      </c>
      <c r="U43" s="17">
        <f>$S43+$T43</f>
        <v/>
      </c>
      <c r="V43" s="17">
        <f>MAX(0,$U43-$R43)</f>
        <v/>
      </c>
      <c r="W43">
        <f>IF($B43="","",IF($L43&lt;=0,"Tier 1","Tier "&amp;COUNTIF('Plan setup'!$B$10:$B$13,"&lt;="&amp;$M43)))</f>
        <v/>
      </c>
      <c r="X43" s="16">
        <f>IF($L43&gt;0,$R43/$L43,0)</f>
        <v/>
      </c>
    </row>
    <row r="44">
      <c r="A44">
        <f>INT((ROW()-2)/12)+1</f>
        <v/>
      </c>
      <c r="B44">
        <f>IF(INDEX('Plan setup'!$A$25:$A$34,$A44)="","",INDEX('Plan setup'!$A$25:$A$34,$A44))</f>
        <v/>
      </c>
      <c r="C44">
        <f>MOD(ROW()-2,12)+1</f>
        <v/>
      </c>
      <c r="D44" s="24">
        <f>EDATE('Plan setup'!$B$3,$C44-1)</f>
        <v/>
      </c>
      <c r="E44" s="24">
        <f>EDATE('Plan setup'!$B$3,$C44)-1</f>
        <v/>
      </c>
      <c r="F44">
        <f>$B44&amp;"|"&amp;$C44</f>
        <v/>
      </c>
      <c r="G44" s="17">
        <f>IF($B44="",0,IFERROR(INDEX('Plan setup'!$C$25:$C$34,$A44)*1,0))</f>
        <v/>
      </c>
      <c r="H44" s="16">
        <f>IF($B44="",0,IFERROR(INDEX('Plan setup'!$E$25:$E$34,$A44)*1,0))</f>
        <v/>
      </c>
      <c r="I44" s="17">
        <f>IF($B44="",0,SUMIFS(Deals!$N$2:$N$301,Deals!$F$2:$F$301,$B44,Deals!$B$2:$B$301,"&gt;="&amp;$D44,Deals!$B$2:$B$301,"&lt;="&amp;$E44)+SUMIFS(Deals!$O$2:$O$301,Deals!$H$2:$H$301,$B44,Deals!$B$2:$B$301,"&gt;="&amp;$D44,Deals!$B$2:$B$301,"&lt;="&amp;$E44))</f>
        <v/>
      </c>
      <c r="J44" s="17">
        <f>IF($B44="",0,SUMIFS(Deals!$N$2:$N$301,Deals!$F$2:$F$301,$B44,Deals!$Q$2:$Q$301,"&gt;="&amp;$D44,Deals!$Q$2:$Q$301,"&lt;="&amp;$E44)+SUMIFS(Deals!$O$2:$O$301,Deals!$H$2:$H$301,$B44,Deals!$Q$2:$Q$301,"&gt;="&amp;$D44,Deals!$Q$2:$Q$301,"&lt;="&amp;$E44))</f>
        <v/>
      </c>
      <c r="K44" s="17">
        <f>$I44-$J44</f>
        <v/>
      </c>
      <c r="L44" s="17">
        <f>IF($C44=1,$K44,$L43+$K44)</f>
        <v/>
      </c>
      <c r="M44" s="25">
        <f>IF($G44&gt;0,$L44/$G44,0)</f>
        <v/>
      </c>
      <c r="N44" s="17">
        <f>IF('Plan setup'!$B$10="",0,MAX(0,MIN(MAX($L44,0),IF('Plan setup'!$C$10="",9E+15,'Plan setup'!$C$10*$G44))-'Plan setup'!$B$10*$G44))</f>
        <v/>
      </c>
      <c r="O44" s="17">
        <f>IF('Plan setup'!$B$11="",0,MAX(0,MIN(MAX($L44,0),IF('Plan setup'!$C$11="",9E+15,'Plan setup'!$C$11*$G44))-'Plan setup'!$B$11*$G44))</f>
        <v/>
      </c>
      <c r="P44" s="17">
        <f>IF('Plan setup'!$B$12="",0,MAX(0,MIN(MAX($L44,0),IF('Plan setup'!$C$12="",9E+15,'Plan setup'!$C$12*$G44))-'Plan setup'!$B$12*$G44))</f>
        <v/>
      </c>
      <c r="Q44" s="17">
        <f>IF('Plan setup'!$B$13="",0,MAX(0,MIN(MAX($L44,0),IF('Plan setup'!$C$13="",9E+15,'Plan setup'!$C$13*$G44))-'Plan setup'!$B$13*$G44))</f>
        <v/>
      </c>
      <c r="R44" s="17">
        <f>$H44*($N44*N('Plan setup'!$D$10)+$O44*N('Plan setup'!$D$11)+$P44*N('Plan setup'!$D$12)+$Q44*N('Plan setup'!$D$13))</f>
        <v/>
      </c>
      <c r="S44" s="17">
        <f>IF($C44=1,0,$U43)</f>
        <v/>
      </c>
      <c r="T44" s="17">
        <f>MAX(0,$R44-$S44)</f>
        <v/>
      </c>
      <c r="U44" s="17">
        <f>$S44+$T44</f>
        <v/>
      </c>
      <c r="V44" s="17">
        <f>MAX(0,$U44-$R44)</f>
        <v/>
      </c>
      <c r="W44">
        <f>IF($B44="","",IF($L44&lt;=0,"Tier 1","Tier "&amp;COUNTIF('Plan setup'!$B$10:$B$13,"&lt;="&amp;$M44)))</f>
        <v/>
      </c>
      <c r="X44" s="16">
        <f>IF($L44&gt;0,$R44/$L44,0)</f>
        <v/>
      </c>
    </row>
    <row r="45">
      <c r="A45">
        <f>INT((ROW()-2)/12)+1</f>
        <v/>
      </c>
      <c r="B45">
        <f>IF(INDEX('Plan setup'!$A$25:$A$34,$A45)="","",INDEX('Plan setup'!$A$25:$A$34,$A45))</f>
        <v/>
      </c>
      <c r="C45">
        <f>MOD(ROW()-2,12)+1</f>
        <v/>
      </c>
      <c r="D45" s="24">
        <f>EDATE('Plan setup'!$B$3,$C45-1)</f>
        <v/>
      </c>
      <c r="E45" s="24">
        <f>EDATE('Plan setup'!$B$3,$C45)-1</f>
        <v/>
      </c>
      <c r="F45">
        <f>$B45&amp;"|"&amp;$C45</f>
        <v/>
      </c>
      <c r="G45" s="17">
        <f>IF($B45="",0,IFERROR(INDEX('Plan setup'!$C$25:$C$34,$A45)*1,0))</f>
        <v/>
      </c>
      <c r="H45" s="16">
        <f>IF($B45="",0,IFERROR(INDEX('Plan setup'!$E$25:$E$34,$A45)*1,0))</f>
        <v/>
      </c>
      <c r="I45" s="17">
        <f>IF($B45="",0,SUMIFS(Deals!$N$2:$N$301,Deals!$F$2:$F$301,$B45,Deals!$B$2:$B$301,"&gt;="&amp;$D45,Deals!$B$2:$B$301,"&lt;="&amp;$E45)+SUMIFS(Deals!$O$2:$O$301,Deals!$H$2:$H$301,$B45,Deals!$B$2:$B$301,"&gt;="&amp;$D45,Deals!$B$2:$B$301,"&lt;="&amp;$E45))</f>
        <v/>
      </c>
      <c r="J45" s="17">
        <f>IF($B45="",0,SUMIFS(Deals!$N$2:$N$301,Deals!$F$2:$F$301,$B45,Deals!$Q$2:$Q$301,"&gt;="&amp;$D45,Deals!$Q$2:$Q$301,"&lt;="&amp;$E45)+SUMIFS(Deals!$O$2:$O$301,Deals!$H$2:$H$301,$B45,Deals!$Q$2:$Q$301,"&gt;="&amp;$D45,Deals!$Q$2:$Q$301,"&lt;="&amp;$E45))</f>
        <v/>
      </c>
      <c r="K45" s="17">
        <f>$I45-$J45</f>
        <v/>
      </c>
      <c r="L45" s="17">
        <f>IF($C45=1,$K45,$L44+$K45)</f>
        <v/>
      </c>
      <c r="M45" s="25">
        <f>IF($G45&gt;0,$L45/$G45,0)</f>
        <v/>
      </c>
      <c r="N45" s="17">
        <f>IF('Plan setup'!$B$10="",0,MAX(0,MIN(MAX($L45,0),IF('Plan setup'!$C$10="",9E+15,'Plan setup'!$C$10*$G45))-'Plan setup'!$B$10*$G45))</f>
        <v/>
      </c>
      <c r="O45" s="17">
        <f>IF('Plan setup'!$B$11="",0,MAX(0,MIN(MAX($L45,0),IF('Plan setup'!$C$11="",9E+15,'Plan setup'!$C$11*$G45))-'Plan setup'!$B$11*$G45))</f>
        <v/>
      </c>
      <c r="P45" s="17">
        <f>IF('Plan setup'!$B$12="",0,MAX(0,MIN(MAX($L45,0),IF('Plan setup'!$C$12="",9E+15,'Plan setup'!$C$12*$G45))-'Plan setup'!$B$12*$G45))</f>
        <v/>
      </c>
      <c r="Q45" s="17">
        <f>IF('Plan setup'!$B$13="",0,MAX(0,MIN(MAX($L45,0),IF('Plan setup'!$C$13="",9E+15,'Plan setup'!$C$13*$G45))-'Plan setup'!$B$13*$G45))</f>
        <v/>
      </c>
      <c r="R45" s="17">
        <f>$H45*($N45*N('Plan setup'!$D$10)+$O45*N('Plan setup'!$D$11)+$P45*N('Plan setup'!$D$12)+$Q45*N('Plan setup'!$D$13))</f>
        <v/>
      </c>
      <c r="S45" s="17">
        <f>IF($C45=1,0,$U44)</f>
        <v/>
      </c>
      <c r="T45" s="17">
        <f>MAX(0,$R45-$S45)</f>
        <v/>
      </c>
      <c r="U45" s="17">
        <f>$S45+$T45</f>
        <v/>
      </c>
      <c r="V45" s="17">
        <f>MAX(0,$U45-$R45)</f>
        <v/>
      </c>
      <c r="W45">
        <f>IF($B45="","",IF($L45&lt;=0,"Tier 1","Tier "&amp;COUNTIF('Plan setup'!$B$10:$B$13,"&lt;="&amp;$M45)))</f>
        <v/>
      </c>
      <c r="X45" s="16">
        <f>IF($L45&gt;0,$R45/$L45,0)</f>
        <v/>
      </c>
    </row>
    <row r="46">
      <c r="A46">
        <f>INT((ROW()-2)/12)+1</f>
        <v/>
      </c>
      <c r="B46">
        <f>IF(INDEX('Plan setup'!$A$25:$A$34,$A46)="","",INDEX('Plan setup'!$A$25:$A$34,$A46))</f>
        <v/>
      </c>
      <c r="C46">
        <f>MOD(ROW()-2,12)+1</f>
        <v/>
      </c>
      <c r="D46" s="24">
        <f>EDATE('Plan setup'!$B$3,$C46-1)</f>
        <v/>
      </c>
      <c r="E46" s="24">
        <f>EDATE('Plan setup'!$B$3,$C46)-1</f>
        <v/>
      </c>
      <c r="F46">
        <f>$B46&amp;"|"&amp;$C46</f>
        <v/>
      </c>
      <c r="G46" s="17">
        <f>IF($B46="",0,IFERROR(INDEX('Plan setup'!$C$25:$C$34,$A46)*1,0))</f>
        <v/>
      </c>
      <c r="H46" s="16">
        <f>IF($B46="",0,IFERROR(INDEX('Plan setup'!$E$25:$E$34,$A46)*1,0))</f>
        <v/>
      </c>
      <c r="I46" s="17">
        <f>IF($B46="",0,SUMIFS(Deals!$N$2:$N$301,Deals!$F$2:$F$301,$B46,Deals!$B$2:$B$301,"&gt;="&amp;$D46,Deals!$B$2:$B$301,"&lt;="&amp;$E46)+SUMIFS(Deals!$O$2:$O$301,Deals!$H$2:$H$301,$B46,Deals!$B$2:$B$301,"&gt;="&amp;$D46,Deals!$B$2:$B$301,"&lt;="&amp;$E46))</f>
        <v/>
      </c>
      <c r="J46" s="17">
        <f>IF($B46="",0,SUMIFS(Deals!$N$2:$N$301,Deals!$F$2:$F$301,$B46,Deals!$Q$2:$Q$301,"&gt;="&amp;$D46,Deals!$Q$2:$Q$301,"&lt;="&amp;$E46)+SUMIFS(Deals!$O$2:$O$301,Deals!$H$2:$H$301,$B46,Deals!$Q$2:$Q$301,"&gt;="&amp;$D46,Deals!$Q$2:$Q$301,"&lt;="&amp;$E46))</f>
        <v/>
      </c>
      <c r="K46" s="17">
        <f>$I46-$J46</f>
        <v/>
      </c>
      <c r="L46" s="17">
        <f>IF($C46=1,$K46,$L45+$K46)</f>
        <v/>
      </c>
      <c r="M46" s="25">
        <f>IF($G46&gt;0,$L46/$G46,0)</f>
        <v/>
      </c>
      <c r="N46" s="17">
        <f>IF('Plan setup'!$B$10="",0,MAX(0,MIN(MAX($L46,0),IF('Plan setup'!$C$10="",9E+15,'Plan setup'!$C$10*$G46))-'Plan setup'!$B$10*$G46))</f>
        <v/>
      </c>
      <c r="O46" s="17">
        <f>IF('Plan setup'!$B$11="",0,MAX(0,MIN(MAX($L46,0),IF('Plan setup'!$C$11="",9E+15,'Plan setup'!$C$11*$G46))-'Plan setup'!$B$11*$G46))</f>
        <v/>
      </c>
      <c r="P46" s="17">
        <f>IF('Plan setup'!$B$12="",0,MAX(0,MIN(MAX($L46,0),IF('Plan setup'!$C$12="",9E+15,'Plan setup'!$C$12*$G46))-'Plan setup'!$B$12*$G46))</f>
        <v/>
      </c>
      <c r="Q46" s="17">
        <f>IF('Plan setup'!$B$13="",0,MAX(0,MIN(MAX($L46,0),IF('Plan setup'!$C$13="",9E+15,'Plan setup'!$C$13*$G46))-'Plan setup'!$B$13*$G46))</f>
        <v/>
      </c>
      <c r="R46" s="17">
        <f>$H46*($N46*N('Plan setup'!$D$10)+$O46*N('Plan setup'!$D$11)+$P46*N('Plan setup'!$D$12)+$Q46*N('Plan setup'!$D$13))</f>
        <v/>
      </c>
      <c r="S46" s="17">
        <f>IF($C46=1,0,$U45)</f>
        <v/>
      </c>
      <c r="T46" s="17">
        <f>MAX(0,$R46-$S46)</f>
        <v/>
      </c>
      <c r="U46" s="17">
        <f>$S46+$T46</f>
        <v/>
      </c>
      <c r="V46" s="17">
        <f>MAX(0,$U46-$R46)</f>
        <v/>
      </c>
      <c r="W46">
        <f>IF($B46="","",IF($L46&lt;=0,"Tier 1","Tier "&amp;COUNTIF('Plan setup'!$B$10:$B$13,"&lt;="&amp;$M46)))</f>
        <v/>
      </c>
      <c r="X46" s="16">
        <f>IF($L46&gt;0,$R46/$L46,0)</f>
        <v/>
      </c>
    </row>
    <row r="47">
      <c r="A47">
        <f>INT((ROW()-2)/12)+1</f>
        <v/>
      </c>
      <c r="B47">
        <f>IF(INDEX('Plan setup'!$A$25:$A$34,$A47)="","",INDEX('Plan setup'!$A$25:$A$34,$A47))</f>
        <v/>
      </c>
      <c r="C47">
        <f>MOD(ROW()-2,12)+1</f>
        <v/>
      </c>
      <c r="D47" s="24">
        <f>EDATE('Plan setup'!$B$3,$C47-1)</f>
        <v/>
      </c>
      <c r="E47" s="24">
        <f>EDATE('Plan setup'!$B$3,$C47)-1</f>
        <v/>
      </c>
      <c r="F47">
        <f>$B47&amp;"|"&amp;$C47</f>
        <v/>
      </c>
      <c r="G47" s="17">
        <f>IF($B47="",0,IFERROR(INDEX('Plan setup'!$C$25:$C$34,$A47)*1,0))</f>
        <v/>
      </c>
      <c r="H47" s="16">
        <f>IF($B47="",0,IFERROR(INDEX('Plan setup'!$E$25:$E$34,$A47)*1,0))</f>
        <v/>
      </c>
      <c r="I47" s="17">
        <f>IF($B47="",0,SUMIFS(Deals!$N$2:$N$301,Deals!$F$2:$F$301,$B47,Deals!$B$2:$B$301,"&gt;="&amp;$D47,Deals!$B$2:$B$301,"&lt;="&amp;$E47)+SUMIFS(Deals!$O$2:$O$301,Deals!$H$2:$H$301,$B47,Deals!$B$2:$B$301,"&gt;="&amp;$D47,Deals!$B$2:$B$301,"&lt;="&amp;$E47))</f>
        <v/>
      </c>
      <c r="J47" s="17">
        <f>IF($B47="",0,SUMIFS(Deals!$N$2:$N$301,Deals!$F$2:$F$301,$B47,Deals!$Q$2:$Q$301,"&gt;="&amp;$D47,Deals!$Q$2:$Q$301,"&lt;="&amp;$E47)+SUMIFS(Deals!$O$2:$O$301,Deals!$H$2:$H$301,$B47,Deals!$Q$2:$Q$301,"&gt;="&amp;$D47,Deals!$Q$2:$Q$301,"&lt;="&amp;$E47))</f>
        <v/>
      </c>
      <c r="K47" s="17">
        <f>$I47-$J47</f>
        <v/>
      </c>
      <c r="L47" s="17">
        <f>IF($C47=1,$K47,$L46+$K47)</f>
        <v/>
      </c>
      <c r="M47" s="25">
        <f>IF($G47&gt;0,$L47/$G47,0)</f>
        <v/>
      </c>
      <c r="N47" s="17">
        <f>IF('Plan setup'!$B$10="",0,MAX(0,MIN(MAX($L47,0),IF('Plan setup'!$C$10="",9E+15,'Plan setup'!$C$10*$G47))-'Plan setup'!$B$10*$G47))</f>
        <v/>
      </c>
      <c r="O47" s="17">
        <f>IF('Plan setup'!$B$11="",0,MAX(0,MIN(MAX($L47,0),IF('Plan setup'!$C$11="",9E+15,'Plan setup'!$C$11*$G47))-'Plan setup'!$B$11*$G47))</f>
        <v/>
      </c>
      <c r="P47" s="17">
        <f>IF('Plan setup'!$B$12="",0,MAX(0,MIN(MAX($L47,0),IF('Plan setup'!$C$12="",9E+15,'Plan setup'!$C$12*$G47))-'Plan setup'!$B$12*$G47))</f>
        <v/>
      </c>
      <c r="Q47" s="17">
        <f>IF('Plan setup'!$B$13="",0,MAX(0,MIN(MAX($L47,0),IF('Plan setup'!$C$13="",9E+15,'Plan setup'!$C$13*$G47))-'Plan setup'!$B$13*$G47))</f>
        <v/>
      </c>
      <c r="R47" s="17">
        <f>$H47*($N47*N('Plan setup'!$D$10)+$O47*N('Plan setup'!$D$11)+$P47*N('Plan setup'!$D$12)+$Q47*N('Plan setup'!$D$13))</f>
        <v/>
      </c>
      <c r="S47" s="17">
        <f>IF($C47=1,0,$U46)</f>
        <v/>
      </c>
      <c r="T47" s="17">
        <f>MAX(0,$R47-$S47)</f>
        <v/>
      </c>
      <c r="U47" s="17">
        <f>$S47+$T47</f>
        <v/>
      </c>
      <c r="V47" s="17">
        <f>MAX(0,$U47-$R47)</f>
        <v/>
      </c>
      <c r="W47">
        <f>IF($B47="","",IF($L47&lt;=0,"Tier 1","Tier "&amp;COUNTIF('Plan setup'!$B$10:$B$13,"&lt;="&amp;$M47)))</f>
        <v/>
      </c>
      <c r="X47" s="16">
        <f>IF($L47&gt;0,$R47/$L47,0)</f>
        <v/>
      </c>
    </row>
    <row r="48">
      <c r="A48">
        <f>INT((ROW()-2)/12)+1</f>
        <v/>
      </c>
      <c r="B48">
        <f>IF(INDEX('Plan setup'!$A$25:$A$34,$A48)="","",INDEX('Plan setup'!$A$25:$A$34,$A48))</f>
        <v/>
      </c>
      <c r="C48">
        <f>MOD(ROW()-2,12)+1</f>
        <v/>
      </c>
      <c r="D48" s="24">
        <f>EDATE('Plan setup'!$B$3,$C48-1)</f>
        <v/>
      </c>
      <c r="E48" s="24">
        <f>EDATE('Plan setup'!$B$3,$C48)-1</f>
        <v/>
      </c>
      <c r="F48">
        <f>$B48&amp;"|"&amp;$C48</f>
        <v/>
      </c>
      <c r="G48" s="17">
        <f>IF($B48="",0,IFERROR(INDEX('Plan setup'!$C$25:$C$34,$A48)*1,0))</f>
        <v/>
      </c>
      <c r="H48" s="16">
        <f>IF($B48="",0,IFERROR(INDEX('Plan setup'!$E$25:$E$34,$A48)*1,0))</f>
        <v/>
      </c>
      <c r="I48" s="17">
        <f>IF($B48="",0,SUMIFS(Deals!$N$2:$N$301,Deals!$F$2:$F$301,$B48,Deals!$B$2:$B$301,"&gt;="&amp;$D48,Deals!$B$2:$B$301,"&lt;="&amp;$E48)+SUMIFS(Deals!$O$2:$O$301,Deals!$H$2:$H$301,$B48,Deals!$B$2:$B$301,"&gt;="&amp;$D48,Deals!$B$2:$B$301,"&lt;="&amp;$E48))</f>
        <v/>
      </c>
      <c r="J48" s="17">
        <f>IF($B48="",0,SUMIFS(Deals!$N$2:$N$301,Deals!$F$2:$F$301,$B48,Deals!$Q$2:$Q$301,"&gt;="&amp;$D48,Deals!$Q$2:$Q$301,"&lt;="&amp;$E48)+SUMIFS(Deals!$O$2:$O$301,Deals!$H$2:$H$301,$B48,Deals!$Q$2:$Q$301,"&gt;="&amp;$D48,Deals!$Q$2:$Q$301,"&lt;="&amp;$E48))</f>
        <v/>
      </c>
      <c r="K48" s="17">
        <f>$I48-$J48</f>
        <v/>
      </c>
      <c r="L48" s="17">
        <f>IF($C48=1,$K48,$L47+$K48)</f>
        <v/>
      </c>
      <c r="M48" s="25">
        <f>IF($G48&gt;0,$L48/$G48,0)</f>
        <v/>
      </c>
      <c r="N48" s="17">
        <f>IF('Plan setup'!$B$10="",0,MAX(0,MIN(MAX($L48,0),IF('Plan setup'!$C$10="",9E+15,'Plan setup'!$C$10*$G48))-'Plan setup'!$B$10*$G48))</f>
        <v/>
      </c>
      <c r="O48" s="17">
        <f>IF('Plan setup'!$B$11="",0,MAX(0,MIN(MAX($L48,0),IF('Plan setup'!$C$11="",9E+15,'Plan setup'!$C$11*$G48))-'Plan setup'!$B$11*$G48))</f>
        <v/>
      </c>
      <c r="P48" s="17">
        <f>IF('Plan setup'!$B$12="",0,MAX(0,MIN(MAX($L48,0),IF('Plan setup'!$C$12="",9E+15,'Plan setup'!$C$12*$G48))-'Plan setup'!$B$12*$G48))</f>
        <v/>
      </c>
      <c r="Q48" s="17">
        <f>IF('Plan setup'!$B$13="",0,MAX(0,MIN(MAX($L48,0),IF('Plan setup'!$C$13="",9E+15,'Plan setup'!$C$13*$G48))-'Plan setup'!$B$13*$G48))</f>
        <v/>
      </c>
      <c r="R48" s="17">
        <f>$H48*($N48*N('Plan setup'!$D$10)+$O48*N('Plan setup'!$D$11)+$P48*N('Plan setup'!$D$12)+$Q48*N('Plan setup'!$D$13))</f>
        <v/>
      </c>
      <c r="S48" s="17">
        <f>IF($C48=1,0,$U47)</f>
        <v/>
      </c>
      <c r="T48" s="17">
        <f>MAX(0,$R48-$S48)</f>
        <v/>
      </c>
      <c r="U48" s="17">
        <f>$S48+$T48</f>
        <v/>
      </c>
      <c r="V48" s="17">
        <f>MAX(0,$U48-$R48)</f>
        <v/>
      </c>
      <c r="W48">
        <f>IF($B48="","",IF($L48&lt;=0,"Tier 1","Tier "&amp;COUNTIF('Plan setup'!$B$10:$B$13,"&lt;="&amp;$M48)))</f>
        <v/>
      </c>
      <c r="X48" s="16">
        <f>IF($L48&gt;0,$R48/$L48,0)</f>
        <v/>
      </c>
    </row>
    <row r="49">
      <c r="A49">
        <f>INT((ROW()-2)/12)+1</f>
        <v/>
      </c>
      <c r="B49">
        <f>IF(INDEX('Plan setup'!$A$25:$A$34,$A49)="","",INDEX('Plan setup'!$A$25:$A$34,$A49))</f>
        <v/>
      </c>
      <c r="C49">
        <f>MOD(ROW()-2,12)+1</f>
        <v/>
      </c>
      <c r="D49" s="24">
        <f>EDATE('Plan setup'!$B$3,$C49-1)</f>
        <v/>
      </c>
      <c r="E49" s="24">
        <f>EDATE('Plan setup'!$B$3,$C49)-1</f>
        <v/>
      </c>
      <c r="F49">
        <f>$B49&amp;"|"&amp;$C49</f>
        <v/>
      </c>
      <c r="G49" s="17">
        <f>IF($B49="",0,IFERROR(INDEX('Plan setup'!$C$25:$C$34,$A49)*1,0))</f>
        <v/>
      </c>
      <c r="H49" s="16">
        <f>IF($B49="",0,IFERROR(INDEX('Plan setup'!$E$25:$E$34,$A49)*1,0))</f>
        <v/>
      </c>
      <c r="I49" s="17">
        <f>IF($B49="",0,SUMIFS(Deals!$N$2:$N$301,Deals!$F$2:$F$301,$B49,Deals!$B$2:$B$301,"&gt;="&amp;$D49,Deals!$B$2:$B$301,"&lt;="&amp;$E49)+SUMIFS(Deals!$O$2:$O$301,Deals!$H$2:$H$301,$B49,Deals!$B$2:$B$301,"&gt;="&amp;$D49,Deals!$B$2:$B$301,"&lt;="&amp;$E49))</f>
        <v/>
      </c>
      <c r="J49" s="17">
        <f>IF($B49="",0,SUMIFS(Deals!$N$2:$N$301,Deals!$F$2:$F$301,$B49,Deals!$Q$2:$Q$301,"&gt;="&amp;$D49,Deals!$Q$2:$Q$301,"&lt;="&amp;$E49)+SUMIFS(Deals!$O$2:$O$301,Deals!$H$2:$H$301,$B49,Deals!$Q$2:$Q$301,"&gt;="&amp;$D49,Deals!$Q$2:$Q$301,"&lt;="&amp;$E49))</f>
        <v/>
      </c>
      <c r="K49" s="17">
        <f>$I49-$J49</f>
        <v/>
      </c>
      <c r="L49" s="17">
        <f>IF($C49=1,$K49,$L48+$K49)</f>
        <v/>
      </c>
      <c r="M49" s="25">
        <f>IF($G49&gt;0,$L49/$G49,0)</f>
        <v/>
      </c>
      <c r="N49" s="17">
        <f>IF('Plan setup'!$B$10="",0,MAX(0,MIN(MAX($L49,0),IF('Plan setup'!$C$10="",9E+15,'Plan setup'!$C$10*$G49))-'Plan setup'!$B$10*$G49))</f>
        <v/>
      </c>
      <c r="O49" s="17">
        <f>IF('Plan setup'!$B$11="",0,MAX(0,MIN(MAX($L49,0),IF('Plan setup'!$C$11="",9E+15,'Plan setup'!$C$11*$G49))-'Plan setup'!$B$11*$G49))</f>
        <v/>
      </c>
      <c r="P49" s="17">
        <f>IF('Plan setup'!$B$12="",0,MAX(0,MIN(MAX($L49,0),IF('Plan setup'!$C$12="",9E+15,'Plan setup'!$C$12*$G49))-'Plan setup'!$B$12*$G49))</f>
        <v/>
      </c>
      <c r="Q49" s="17">
        <f>IF('Plan setup'!$B$13="",0,MAX(0,MIN(MAX($L49,0),IF('Plan setup'!$C$13="",9E+15,'Plan setup'!$C$13*$G49))-'Plan setup'!$B$13*$G49))</f>
        <v/>
      </c>
      <c r="R49" s="17">
        <f>$H49*($N49*N('Plan setup'!$D$10)+$O49*N('Plan setup'!$D$11)+$P49*N('Plan setup'!$D$12)+$Q49*N('Plan setup'!$D$13))</f>
        <v/>
      </c>
      <c r="S49" s="17">
        <f>IF($C49=1,0,$U48)</f>
        <v/>
      </c>
      <c r="T49" s="17">
        <f>MAX(0,$R49-$S49)</f>
        <v/>
      </c>
      <c r="U49" s="17">
        <f>$S49+$T49</f>
        <v/>
      </c>
      <c r="V49" s="17">
        <f>MAX(0,$U49-$R49)</f>
        <v/>
      </c>
      <c r="W49">
        <f>IF($B49="","",IF($L49&lt;=0,"Tier 1","Tier "&amp;COUNTIF('Plan setup'!$B$10:$B$13,"&lt;="&amp;$M49)))</f>
        <v/>
      </c>
      <c r="X49" s="16">
        <f>IF($L49&gt;0,$R49/$L49,0)</f>
        <v/>
      </c>
    </row>
    <row r="50">
      <c r="A50">
        <f>INT((ROW()-2)/12)+1</f>
        <v/>
      </c>
      <c r="B50">
        <f>IF(INDEX('Plan setup'!$A$25:$A$34,$A50)="","",INDEX('Plan setup'!$A$25:$A$34,$A50))</f>
        <v/>
      </c>
      <c r="C50">
        <f>MOD(ROW()-2,12)+1</f>
        <v/>
      </c>
      <c r="D50" s="24">
        <f>EDATE('Plan setup'!$B$3,$C50-1)</f>
        <v/>
      </c>
      <c r="E50" s="24">
        <f>EDATE('Plan setup'!$B$3,$C50)-1</f>
        <v/>
      </c>
      <c r="F50">
        <f>$B50&amp;"|"&amp;$C50</f>
        <v/>
      </c>
      <c r="G50" s="17">
        <f>IF($B50="",0,IFERROR(INDEX('Plan setup'!$C$25:$C$34,$A50)*1,0))</f>
        <v/>
      </c>
      <c r="H50" s="16">
        <f>IF($B50="",0,IFERROR(INDEX('Plan setup'!$E$25:$E$34,$A50)*1,0))</f>
        <v/>
      </c>
      <c r="I50" s="17">
        <f>IF($B50="",0,SUMIFS(Deals!$N$2:$N$301,Deals!$F$2:$F$301,$B50,Deals!$B$2:$B$301,"&gt;="&amp;$D50,Deals!$B$2:$B$301,"&lt;="&amp;$E50)+SUMIFS(Deals!$O$2:$O$301,Deals!$H$2:$H$301,$B50,Deals!$B$2:$B$301,"&gt;="&amp;$D50,Deals!$B$2:$B$301,"&lt;="&amp;$E50))</f>
        <v/>
      </c>
      <c r="J50" s="17">
        <f>IF($B50="",0,SUMIFS(Deals!$N$2:$N$301,Deals!$F$2:$F$301,$B50,Deals!$Q$2:$Q$301,"&gt;="&amp;$D50,Deals!$Q$2:$Q$301,"&lt;="&amp;$E50)+SUMIFS(Deals!$O$2:$O$301,Deals!$H$2:$H$301,$B50,Deals!$Q$2:$Q$301,"&gt;="&amp;$D50,Deals!$Q$2:$Q$301,"&lt;="&amp;$E50))</f>
        <v/>
      </c>
      <c r="K50" s="17">
        <f>$I50-$J50</f>
        <v/>
      </c>
      <c r="L50" s="17">
        <f>IF($C50=1,$K50,$L49+$K50)</f>
        <v/>
      </c>
      <c r="M50" s="25">
        <f>IF($G50&gt;0,$L50/$G50,0)</f>
        <v/>
      </c>
      <c r="N50" s="17">
        <f>IF('Plan setup'!$B$10="",0,MAX(0,MIN(MAX($L50,0),IF('Plan setup'!$C$10="",9E+15,'Plan setup'!$C$10*$G50))-'Plan setup'!$B$10*$G50))</f>
        <v/>
      </c>
      <c r="O50" s="17">
        <f>IF('Plan setup'!$B$11="",0,MAX(0,MIN(MAX($L50,0),IF('Plan setup'!$C$11="",9E+15,'Plan setup'!$C$11*$G50))-'Plan setup'!$B$11*$G50))</f>
        <v/>
      </c>
      <c r="P50" s="17">
        <f>IF('Plan setup'!$B$12="",0,MAX(0,MIN(MAX($L50,0),IF('Plan setup'!$C$12="",9E+15,'Plan setup'!$C$12*$G50))-'Plan setup'!$B$12*$G50))</f>
        <v/>
      </c>
      <c r="Q50" s="17">
        <f>IF('Plan setup'!$B$13="",0,MAX(0,MIN(MAX($L50,0),IF('Plan setup'!$C$13="",9E+15,'Plan setup'!$C$13*$G50))-'Plan setup'!$B$13*$G50))</f>
        <v/>
      </c>
      <c r="R50" s="17">
        <f>$H50*($N50*N('Plan setup'!$D$10)+$O50*N('Plan setup'!$D$11)+$P50*N('Plan setup'!$D$12)+$Q50*N('Plan setup'!$D$13))</f>
        <v/>
      </c>
      <c r="S50" s="17">
        <f>IF($C50=1,0,$U49)</f>
        <v/>
      </c>
      <c r="T50" s="17">
        <f>MAX(0,$R50-$S50)</f>
        <v/>
      </c>
      <c r="U50" s="17">
        <f>$S50+$T50</f>
        <v/>
      </c>
      <c r="V50" s="17">
        <f>MAX(0,$U50-$R50)</f>
        <v/>
      </c>
      <c r="W50">
        <f>IF($B50="","",IF($L50&lt;=0,"Tier 1","Tier "&amp;COUNTIF('Plan setup'!$B$10:$B$13,"&lt;="&amp;$M50)))</f>
        <v/>
      </c>
      <c r="X50" s="16">
        <f>IF($L50&gt;0,$R50/$L50,0)</f>
        <v/>
      </c>
    </row>
    <row r="51">
      <c r="A51">
        <f>INT((ROW()-2)/12)+1</f>
        <v/>
      </c>
      <c r="B51">
        <f>IF(INDEX('Plan setup'!$A$25:$A$34,$A51)="","",INDEX('Plan setup'!$A$25:$A$34,$A51))</f>
        <v/>
      </c>
      <c r="C51">
        <f>MOD(ROW()-2,12)+1</f>
        <v/>
      </c>
      <c r="D51" s="24">
        <f>EDATE('Plan setup'!$B$3,$C51-1)</f>
        <v/>
      </c>
      <c r="E51" s="24">
        <f>EDATE('Plan setup'!$B$3,$C51)-1</f>
        <v/>
      </c>
      <c r="F51">
        <f>$B51&amp;"|"&amp;$C51</f>
        <v/>
      </c>
      <c r="G51" s="17">
        <f>IF($B51="",0,IFERROR(INDEX('Plan setup'!$C$25:$C$34,$A51)*1,0))</f>
        <v/>
      </c>
      <c r="H51" s="16">
        <f>IF($B51="",0,IFERROR(INDEX('Plan setup'!$E$25:$E$34,$A51)*1,0))</f>
        <v/>
      </c>
      <c r="I51" s="17">
        <f>IF($B51="",0,SUMIFS(Deals!$N$2:$N$301,Deals!$F$2:$F$301,$B51,Deals!$B$2:$B$301,"&gt;="&amp;$D51,Deals!$B$2:$B$301,"&lt;="&amp;$E51)+SUMIFS(Deals!$O$2:$O$301,Deals!$H$2:$H$301,$B51,Deals!$B$2:$B$301,"&gt;="&amp;$D51,Deals!$B$2:$B$301,"&lt;="&amp;$E51))</f>
        <v/>
      </c>
      <c r="J51" s="17">
        <f>IF($B51="",0,SUMIFS(Deals!$N$2:$N$301,Deals!$F$2:$F$301,$B51,Deals!$Q$2:$Q$301,"&gt;="&amp;$D51,Deals!$Q$2:$Q$301,"&lt;="&amp;$E51)+SUMIFS(Deals!$O$2:$O$301,Deals!$H$2:$H$301,$B51,Deals!$Q$2:$Q$301,"&gt;="&amp;$D51,Deals!$Q$2:$Q$301,"&lt;="&amp;$E51))</f>
        <v/>
      </c>
      <c r="K51" s="17">
        <f>$I51-$J51</f>
        <v/>
      </c>
      <c r="L51" s="17">
        <f>IF($C51=1,$K51,$L50+$K51)</f>
        <v/>
      </c>
      <c r="M51" s="25">
        <f>IF($G51&gt;0,$L51/$G51,0)</f>
        <v/>
      </c>
      <c r="N51" s="17">
        <f>IF('Plan setup'!$B$10="",0,MAX(0,MIN(MAX($L51,0),IF('Plan setup'!$C$10="",9E+15,'Plan setup'!$C$10*$G51))-'Plan setup'!$B$10*$G51))</f>
        <v/>
      </c>
      <c r="O51" s="17">
        <f>IF('Plan setup'!$B$11="",0,MAX(0,MIN(MAX($L51,0),IF('Plan setup'!$C$11="",9E+15,'Plan setup'!$C$11*$G51))-'Plan setup'!$B$11*$G51))</f>
        <v/>
      </c>
      <c r="P51" s="17">
        <f>IF('Plan setup'!$B$12="",0,MAX(0,MIN(MAX($L51,0),IF('Plan setup'!$C$12="",9E+15,'Plan setup'!$C$12*$G51))-'Plan setup'!$B$12*$G51))</f>
        <v/>
      </c>
      <c r="Q51" s="17">
        <f>IF('Plan setup'!$B$13="",0,MAX(0,MIN(MAX($L51,0),IF('Plan setup'!$C$13="",9E+15,'Plan setup'!$C$13*$G51))-'Plan setup'!$B$13*$G51))</f>
        <v/>
      </c>
      <c r="R51" s="17">
        <f>$H51*($N51*N('Plan setup'!$D$10)+$O51*N('Plan setup'!$D$11)+$P51*N('Plan setup'!$D$12)+$Q51*N('Plan setup'!$D$13))</f>
        <v/>
      </c>
      <c r="S51" s="17">
        <f>IF($C51=1,0,$U50)</f>
        <v/>
      </c>
      <c r="T51" s="17">
        <f>MAX(0,$R51-$S51)</f>
        <v/>
      </c>
      <c r="U51" s="17">
        <f>$S51+$T51</f>
        <v/>
      </c>
      <c r="V51" s="17">
        <f>MAX(0,$U51-$R51)</f>
        <v/>
      </c>
      <c r="W51">
        <f>IF($B51="","",IF($L51&lt;=0,"Tier 1","Tier "&amp;COUNTIF('Plan setup'!$B$10:$B$13,"&lt;="&amp;$M51)))</f>
        <v/>
      </c>
      <c r="X51" s="16">
        <f>IF($L51&gt;0,$R51/$L51,0)</f>
        <v/>
      </c>
    </row>
    <row r="52">
      <c r="A52">
        <f>INT((ROW()-2)/12)+1</f>
        <v/>
      </c>
      <c r="B52">
        <f>IF(INDEX('Plan setup'!$A$25:$A$34,$A52)="","",INDEX('Plan setup'!$A$25:$A$34,$A52))</f>
        <v/>
      </c>
      <c r="C52">
        <f>MOD(ROW()-2,12)+1</f>
        <v/>
      </c>
      <c r="D52" s="24">
        <f>EDATE('Plan setup'!$B$3,$C52-1)</f>
        <v/>
      </c>
      <c r="E52" s="24">
        <f>EDATE('Plan setup'!$B$3,$C52)-1</f>
        <v/>
      </c>
      <c r="F52">
        <f>$B52&amp;"|"&amp;$C52</f>
        <v/>
      </c>
      <c r="G52" s="17">
        <f>IF($B52="",0,IFERROR(INDEX('Plan setup'!$C$25:$C$34,$A52)*1,0))</f>
        <v/>
      </c>
      <c r="H52" s="16">
        <f>IF($B52="",0,IFERROR(INDEX('Plan setup'!$E$25:$E$34,$A52)*1,0))</f>
        <v/>
      </c>
      <c r="I52" s="17">
        <f>IF($B52="",0,SUMIFS(Deals!$N$2:$N$301,Deals!$F$2:$F$301,$B52,Deals!$B$2:$B$301,"&gt;="&amp;$D52,Deals!$B$2:$B$301,"&lt;="&amp;$E52)+SUMIFS(Deals!$O$2:$O$301,Deals!$H$2:$H$301,$B52,Deals!$B$2:$B$301,"&gt;="&amp;$D52,Deals!$B$2:$B$301,"&lt;="&amp;$E52))</f>
        <v/>
      </c>
      <c r="J52" s="17">
        <f>IF($B52="",0,SUMIFS(Deals!$N$2:$N$301,Deals!$F$2:$F$301,$B52,Deals!$Q$2:$Q$301,"&gt;="&amp;$D52,Deals!$Q$2:$Q$301,"&lt;="&amp;$E52)+SUMIFS(Deals!$O$2:$O$301,Deals!$H$2:$H$301,$B52,Deals!$Q$2:$Q$301,"&gt;="&amp;$D52,Deals!$Q$2:$Q$301,"&lt;="&amp;$E52))</f>
        <v/>
      </c>
      <c r="K52" s="17">
        <f>$I52-$J52</f>
        <v/>
      </c>
      <c r="L52" s="17">
        <f>IF($C52=1,$K52,$L51+$K52)</f>
        <v/>
      </c>
      <c r="M52" s="25">
        <f>IF($G52&gt;0,$L52/$G52,0)</f>
        <v/>
      </c>
      <c r="N52" s="17">
        <f>IF('Plan setup'!$B$10="",0,MAX(0,MIN(MAX($L52,0),IF('Plan setup'!$C$10="",9E+15,'Plan setup'!$C$10*$G52))-'Plan setup'!$B$10*$G52))</f>
        <v/>
      </c>
      <c r="O52" s="17">
        <f>IF('Plan setup'!$B$11="",0,MAX(0,MIN(MAX($L52,0),IF('Plan setup'!$C$11="",9E+15,'Plan setup'!$C$11*$G52))-'Plan setup'!$B$11*$G52))</f>
        <v/>
      </c>
      <c r="P52" s="17">
        <f>IF('Plan setup'!$B$12="",0,MAX(0,MIN(MAX($L52,0),IF('Plan setup'!$C$12="",9E+15,'Plan setup'!$C$12*$G52))-'Plan setup'!$B$12*$G52))</f>
        <v/>
      </c>
      <c r="Q52" s="17">
        <f>IF('Plan setup'!$B$13="",0,MAX(0,MIN(MAX($L52,0),IF('Plan setup'!$C$13="",9E+15,'Plan setup'!$C$13*$G52))-'Plan setup'!$B$13*$G52))</f>
        <v/>
      </c>
      <c r="R52" s="17">
        <f>$H52*($N52*N('Plan setup'!$D$10)+$O52*N('Plan setup'!$D$11)+$P52*N('Plan setup'!$D$12)+$Q52*N('Plan setup'!$D$13))</f>
        <v/>
      </c>
      <c r="S52" s="17">
        <f>IF($C52=1,0,$U51)</f>
        <v/>
      </c>
      <c r="T52" s="17">
        <f>MAX(0,$R52-$S52)</f>
        <v/>
      </c>
      <c r="U52" s="17">
        <f>$S52+$T52</f>
        <v/>
      </c>
      <c r="V52" s="17">
        <f>MAX(0,$U52-$R52)</f>
        <v/>
      </c>
      <c r="W52">
        <f>IF($B52="","",IF($L52&lt;=0,"Tier 1","Tier "&amp;COUNTIF('Plan setup'!$B$10:$B$13,"&lt;="&amp;$M52)))</f>
        <v/>
      </c>
      <c r="X52" s="16">
        <f>IF($L52&gt;0,$R52/$L52,0)</f>
        <v/>
      </c>
    </row>
    <row r="53">
      <c r="A53">
        <f>INT((ROW()-2)/12)+1</f>
        <v/>
      </c>
      <c r="B53">
        <f>IF(INDEX('Plan setup'!$A$25:$A$34,$A53)="","",INDEX('Plan setup'!$A$25:$A$34,$A53))</f>
        <v/>
      </c>
      <c r="C53">
        <f>MOD(ROW()-2,12)+1</f>
        <v/>
      </c>
      <c r="D53" s="24">
        <f>EDATE('Plan setup'!$B$3,$C53-1)</f>
        <v/>
      </c>
      <c r="E53" s="24">
        <f>EDATE('Plan setup'!$B$3,$C53)-1</f>
        <v/>
      </c>
      <c r="F53">
        <f>$B53&amp;"|"&amp;$C53</f>
        <v/>
      </c>
      <c r="G53" s="17">
        <f>IF($B53="",0,IFERROR(INDEX('Plan setup'!$C$25:$C$34,$A53)*1,0))</f>
        <v/>
      </c>
      <c r="H53" s="16">
        <f>IF($B53="",0,IFERROR(INDEX('Plan setup'!$E$25:$E$34,$A53)*1,0))</f>
        <v/>
      </c>
      <c r="I53" s="17">
        <f>IF($B53="",0,SUMIFS(Deals!$N$2:$N$301,Deals!$F$2:$F$301,$B53,Deals!$B$2:$B$301,"&gt;="&amp;$D53,Deals!$B$2:$B$301,"&lt;="&amp;$E53)+SUMIFS(Deals!$O$2:$O$301,Deals!$H$2:$H$301,$B53,Deals!$B$2:$B$301,"&gt;="&amp;$D53,Deals!$B$2:$B$301,"&lt;="&amp;$E53))</f>
        <v/>
      </c>
      <c r="J53" s="17">
        <f>IF($B53="",0,SUMIFS(Deals!$N$2:$N$301,Deals!$F$2:$F$301,$B53,Deals!$Q$2:$Q$301,"&gt;="&amp;$D53,Deals!$Q$2:$Q$301,"&lt;="&amp;$E53)+SUMIFS(Deals!$O$2:$O$301,Deals!$H$2:$H$301,$B53,Deals!$Q$2:$Q$301,"&gt;="&amp;$D53,Deals!$Q$2:$Q$301,"&lt;="&amp;$E53))</f>
        <v/>
      </c>
      <c r="K53" s="17">
        <f>$I53-$J53</f>
        <v/>
      </c>
      <c r="L53" s="17">
        <f>IF($C53=1,$K53,$L52+$K53)</f>
        <v/>
      </c>
      <c r="M53" s="25">
        <f>IF($G53&gt;0,$L53/$G53,0)</f>
        <v/>
      </c>
      <c r="N53" s="17">
        <f>IF('Plan setup'!$B$10="",0,MAX(0,MIN(MAX($L53,0),IF('Plan setup'!$C$10="",9E+15,'Plan setup'!$C$10*$G53))-'Plan setup'!$B$10*$G53))</f>
        <v/>
      </c>
      <c r="O53" s="17">
        <f>IF('Plan setup'!$B$11="",0,MAX(0,MIN(MAX($L53,0),IF('Plan setup'!$C$11="",9E+15,'Plan setup'!$C$11*$G53))-'Plan setup'!$B$11*$G53))</f>
        <v/>
      </c>
      <c r="P53" s="17">
        <f>IF('Plan setup'!$B$12="",0,MAX(0,MIN(MAX($L53,0),IF('Plan setup'!$C$12="",9E+15,'Plan setup'!$C$12*$G53))-'Plan setup'!$B$12*$G53))</f>
        <v/>
      </c>
      <c r="Q53" s="17">
        <f>IF('Plan setup'!$B$13="",0,MAX(0,MIN(MAX($L53,0),IF('Plan setup'!$C$13="",9E+15,'Plan setup'!$C$13*$G53))-'Plan setup'!$B$13*$G53))</f>
        <v/>
      </c>
      <c r="R53" s="17">
        <f>$H53*($N53*N('Plan setup'!$D$10)+$O53*N('Plan setup'!$D$11)+$P53*N('Plan setup'!$D$12)+$Q53*N('Plan setup'!$D$13))</f>
        <v/>
      </c>
      <c r="S53" s="17">
        <f>IF($C53=1,0,$U52)</f>
        <v/>
      </c>
      <c r="T53" s="17">
        <f>MAX(0,$R53-$S53)</f>
        <v/>
      </c>
      <c r="U53" s="17">
        <f>$S53+$T53</f>
        <v/>
      </c>
      <c r="V53" s="17">
        <f>MAX(0,$U53-$R53)</f>
        <v/>
      </c>
      <c r="W53">
        <f>IF($B53="","",IF($L53&lt;=0,"Tier 1","Tier "&amp;COUNTIF('Plan setup'!$B$10:$B$13,"&lt;="&amp;$M53)))</f>
        <v/>
      </c>
      <c r="X53" s="16">
        <f>IF($L53&gt;0,$R53/$L53,0)</f>
        <v/>
      </c>
    </row>
    <row r="54">
      <c r="A54">
        <f>INT((ROW()-2)/12)+1</f>
        <v/>
      </c>
      <c r="B54">
        <f>IF(INDEX('Plan setup'!$A$25:$A$34,$A54)="","",INDEX('Plan setup'!$A$25:$A$34,$A54))</f>
        <v/>
      </c>
      <c r="C54">
        <f>MOD(ROW()-2,12)+1</f>
        <v/>
      </c>
      <c r="D54" s="24">
        <f>EDATE('Plan setup'!$B$3,$C54-1)</f>
        <v/>
      </c>
      <c r="E54" s="24">
        <f>EDATE('Plan setup'!$B$3,$C54)-1</f>
        <v/>
      </c>
      <c r="F54">
        <f>$B54&amp;"|"&amp;$C54</f>
        <v/>
      </c>
      <c r="G54" s="17">
        <f>IF($B54="",0,IFERROR(INDEX('Plan setup'!$C$25:$C$34,$A54)*1,0))</f>
        <v/>
      </c>
      <c r="H54" s="16">
        <f>IF($B54="",0,IFERROR(INDEX('Plan setup'!$E$25:$E$34,$A54)*1,0))</f>
        <v/>
      </c>
      <c r="I54" s="17">
        <f>IF($B54="",0,SUMIFS(Deals!$N$2:$N$301,Deals!$F$2:$F$301,$B54,Deals!$B$2:$B$301,"&gt;="&amp;$D54,Deals!$B$2:$B$301,"&lt;="&amp;$E54)+SUMIFS(Deals!$O$2:$O$301,Deals!$H$2:$H$301,$B54,Deals!$B$2:$B$301,"&gt;="&amp;$D54,Deals!$B$2:$B$301,"&lt;="&amp;$E54))</f>
        <v/>
      </c>
      <c r="J54" s="17">
        <f>IF($B54="",0,SUMIFS(Deals!$N$2:$N$301,Deals!$F$2:$F$301,$B54,Deals!$Q$2:$Q$301,"&gt;="&amp;$D54,Deals!$Q$2:$Q$301,"&lt;="&amp;$E54)+SUMIFS(Deals!$O$2:$O$301,Deals!$H$2:$H$301,$B54,Deals!$Q$2:$Q$301,"&gt;="&amp;$D54,Deals!$Q$2:$Q$301,"&lt;="&amp;$E54))</f>
        <v/>
      </c>
      <c r="K54" s="17">
        <f>$I54-$J54</f>
        <v/>
      </c>
      <c r="L54" s="17">
        <f>IF($C54=1,$K54,$L53+$K54)</f>
        <v/>
      </c>
      <c r="M54" s="25">
        <f>IF($G54&gt;0,$L54/$G54,0)</f>
        <v/>
      </c>
      <c r="N54" s="17">
        <f>IF('Plan setup'!$B$10="",0,MAX(0,MIN(MAX($L54,0),IF('Plan setup'!$C$10="",9E+15,'Plan setup'!$C$10*$G54))-'Plan setup'!$B$10*$G54))</f>
        <v/>
      </c>
      <c r="O54" s="17">
        <f>IF('Plan setup'!$B$11="",0,MAX(0,MIN(MAX($L54,0),IF('Plan setup'!$C$11="",9E+15,'Plan setup'!$C$11*$G54))-'Plan setup'!$B$11*$G54))</f>
        <v/>
      </c>
      <c r="P54" s="17">
        <f>IF('Plan setup'!$B$12="",0,MAX(0,MIN(MAX($L54,0),IF('Plan setup'!$C$12="",9E+15,'Plan setup'!$C$12*$G54))-'Plan setup'!$B$12*$G54))</f>
        <v/>
      </c>
      <c r="Q54" s="17">
        <f>IF('Plan setup'!$B$13="",0,MAX(0,MIN(MAX($L54,0),IF('Plan setup'!$C$13="",9E+15,'Plan setup'!$C$13*$G54))-'Plan setup'!$B$13*$G54))</f>
        <v/>
      </c>
      <c r="R54" s="17">
        <f>$H54*($N54*N('Plan setup'!$D$10)+$O54*N('Plan setup'!$D$11)+$P54*N('Plan setup'!$D$12)+$Q54*N('Plan setup'!$D$13))</f>
        <v/>
      </c>
      <c r="S54" s="17">
        <f>IF($C54=1,0,$U53)</f>
        <v/>
      </c>
      <c r="T54" s="17">
        <f>MAX(0,$R54-$S54)</f>
        <v/>
      </c>
      <c r="U54" s="17">
        <f>$S54+$T54</f>
        <v/>
      </c>
      <c r="V54" s="17">
        <f>MAX(0,$U54-$R54)</f>
        <v/>
      </c>
      <c r="W54">
        <f>IF($B54="","",IF($L54&lt;=0,"Tier 1","Tier "&amp;COUNTIF('Plan setup'!$B$10:$B$13,"&lt;="&amp;$M54)))</f>
        <v/>
      </c>
      <c r="X54" s="16">
        <f>IF($L54&gt;0,$R54/$L54,0)</f>
        <v/>
      </c>
    </row>
    <row r="55">
      <c r="A55">
        <f>INT((ROW()-2)/12)+1</f>
        <v/>
      </c>
      <c r="B55">
        <f>IF(INDEX('Plan setup'!$A$25:$A$34,$A55)="","",INDEX('Plan setup'!$A$25:$A$34,$A55))</f>
        <v/>
      </c>
      <c r="C55">
        <f>MOD(ROW()-2,12)+1</f>
        <v/>
      </c>
      <c r="D55" s="24">
        <f>EDATE('Plan setup'!$B$3,$C55-1)</f>
        <v/>
      </c>
      <c r="E55" s="24">
        <f>EDATE('Plan setup'!$B$3,$C55)-1</f>
        <v/>
      </c>
      <c r="F55">
        <f>$B55&amp;"|"&amp;$C55</f>
        <v/>
      </c>
      <c r="G55" s="17">
        <f>IF($B55="",0,IFERROR(INDEX('Plan setup'!$C$25:$C$34,$A55)*1,0))</f>
        <v/>
      </c>
      <c r="H55" s="16">
        <f>IF($B55="",0,IFERROR(INDEX('Plan setup'!$E$25:$E$34,$A55)*1,0))</f>
        <v/>
      </c>
      <c r="I55" s="17">
        <f>IF($B55="",0,SUMIFS(Deals!$N$2:$N$301,Deals!$F$2:$F$301,$B55,Deals!$B$2:$B$301,"&gt;="&amp;$D55,Deals!$B$2:$B$301,"&lt;="&amp;$E55)+SUMIFS(Deals!$O$2:$O$301,Deals!$H$2:$H$301,$B55,Deals!$B$2:$B$301,"&gt;="&amp;$D55,Deals!$B$2:$B$301,"&lt;="&amp;$E55))</f>
        <v/>
      </c>
      <c r="J55" s="17">
        <f>IF($B55="",0,SUMIFS(Deals!$N$2:$N$301,Deals!$F$2:$F$301,$B55,Deals!$Q$2:$Q$301,"&gt;="&amp;$D55,Deals!$Q$2:$Q$301,"&lt;="&amp;$E55)+SUMIFS(Deals!$O$2:$O$301,Deals!$H$2:$H$301,$B55,Deals!$Q$2:$Q$301,"&gt;="&amp;$D55,Deals!$Q$2:$Q$301,"&lt;="&amp;$E55))</f>
        <v/>
      </c>
      <c r="K55" s="17">
        <f>$I55-$J55</f>
        <v/>
      </c>
      <c r="L55" s="17">
        <f>IF($C55=1,$K55,$L54+$K55)</f>
        <v/>
      </c>
      <c r="M55" s="25">
        <f>IF($G55&gt;0,$L55/$G55,0)</f>
        <v/>
      </c>
      <c r="N55" s="17">
        <f>IF('Plan setup'!$B$10="",0,MAX(0,MIN(MAX($L55,0),IF('Plan setup'!$C$10="",9E+15,'Plan setup'!$C$10*$G55))-'Plan setup'!$B$10*$G55))</f>
        <v/>
      </c>
      <c r="O55" s="17">
        <f>IF('Plan setup'!$B$11="",0,MAX(0,MIN(MAX($L55,0),IF('Plan setup'!$C$11="",9E+15,'Plan setup'!$C$11*$G55))-'Plan setup'!$B$11*$G55))</f>
        <v/>
      </c>
      <c r="P55" s="17">
        <f>IF('Plan setup'!$B$12="",0,MAX(0,MIN(MAX($L55,0),IF('Plan setup'!$C$12="",9E+15,'Plan setup'!$C$12*$G55))-'Plan setup'!$B$12*$G55))</f>
        <v/>
      </c>
      <c r="Q55" s="17">
        <f>IF('Plan setup'!$B$13="",0,MAX(0,MIN(MAX($L55,0),IF('Plan setup'!$C$13="",9E+15,'Plan setup'!$C$13*$G55))-'Plan setup'!$B$13*$G55))</f>
        <v/>
      </c>
      <c r="R55" s="17">
        <f>$H55*($N55*N('Plan setup'!$D$10)+$O55*N('Plan setup'!$D$11)+$P55*N('Plan setup'!$D$12)+$Q55*N('Plan setup'!$D$13))</f>
        <v/>
      </c>
      <c r="S55" s="17">
        <f>IF($C55=1,0,$U54)</f>
        <v/>
      </c>
      <c r="T55" s="17">
        <f>MAX(0,$R55-$S55)</f>
        <v/>
      </c>
      <c r="U55" s="17">
        <f>$S55+$T55</f>
        <v/>
      </c>
      <c r="V55" s="17">
        <f>MAX(0,$U55-$R55)</f>
        <v/>
      </c>
      <c r="W55">
        <f>IF($B55="","",IF($L55&lt;=0,"Tier 1","Tier "&amp;COUNTIF('Plan setup'!$B$10:$B$13,"&lt;="&amp;$M55)))</f>
        <v/>
      </c>
      <c r="X55" s="16">
        <f>IF($L55&gt;0,$R55/$L55,0)</f>
        <v/>
      </c>
    </row>
    <row r="56">
      <c r="A56">
        <f>INT((ROW()-2)/12)+1</f>
        <v/>
      </c>
      <c r="B56">
        <f>IF(INDEX('Plan setup'!$A$25:$A$34,$A56)="","",INDEX('Plan setup'!$A$25:$A$34,$A56))</f>
        <v/>
      </c>
      <c r="C56">
        <f>MOD(ROW()-2,12)+1</f>
        <v/>
      </c>
      <c r="D56" s="24">
        <f>EDATE('Plan setup'!$B$3,$C56-1)</f>
        <v/>
      </c>
      <c r="E56" s="24">
        <f>EDATE('Plan setup'!$B$3,$C56)-1</f>
        <v/>
      </c>
      <c r="F56">
        <f>$B56&amp;"|"&amp;$C56</f>
        <v/>
      </c>
      <c r="G56" s="17">
        <f>IF($B56="",0,IFERROR(INDEX('Plan setup'!$C$25:$C$34,$A56)*1,0))</f>
        <v/>
      </c>
      <c r="H56" s="16">
        <f>IF($B56="",0,IFERROR(INDEX('Plan setup'!$E$25:$E$34,$A56)*1,0))</f>
        <v/>
      </c>
      <c r="I56" s="17">
        <f>IF($B56="",0,SUMIFS(Deals!$N$2:$N$301,Deals!$F$2:$F$301,$B56,Deals!$B$2:$B$301,"&gt;="&amp;$D56,Deals!$B$2:$B$301,"&lt;="&amp;$E56)+SUMIFS(Deals!$O$2:$O$301,Deals!$H$2:$H$301,$B56,Deals!$B$2:$B$301,"&gt;="&amp;$D56,Deals!$B$2:$B$301,"&lt;="&amp;$E56))</f>
        <v/>
      </c>
      <c r="J56" s="17">
        <f>IF($B56="",0,SUMIFS(Deals!$N$2:$N$301,Deals!$F$2:$F$301,$B56,Deals!$Q$2:$Q$301,"&gt;="&amp;$D56,Deals!$Q$2:$Q$301,"&lt;="&amp;$E56)+SUMIFS(Deals!$O$2:$O$301,Deals!$H$2:$H$301,$B56,Deals!$Q$2:$Q$301,"&gt;="&amp;$D56,Deals!$Q$2:$Q$301,"&lt;="&amp;$E56))</f>
        <v/>
      </c>
      <c r="K56" s="17">
        <f>$I56-$J56</f>
        <v/>
      </c>
      <c r="L56" s="17">
        <f>IF($C56=1,$K56,$L55+$K56)</f>
        <v/>
      </c>
      <c r="M56" s="25">
        <f>IF($G56&gt;0,$L56/$G56,0)</f>
        <v/>
      </c>
      <c r="N56" s="17">
        <f>IF('Plan setup'!$B$10="",0,MAX(0,MIN(MAX($L56,0),IF('Plan setup'!$C$10="",9E+15,'Plan setup'!$C$10*$G56))-'Plan setup'!$B$10*$G56))</f>
        <v/>
      </c>
      <c r="O56" s="17">
        <f>IF('Plan setup'!$B$11="",0,MAX(0,MIN(MAX($L56,0),IF('Plan setup'!$C$11="",9E+15,'Plan setup'!$C$11*$G56))-'Plan setup'!$B$11*$G56))</f>
        <v/>
      </c>
      <c r="P56" s="17">
        <f>IF('Plan setup'!$B$12="",0,MAX(0,MIN(MAX($L56,0),IF('Plan setup'!$C$12="",9E+15,'Plan setup'!$C$12*$G56))-'Plan setup'!$B$12*$G56))</f>
        <v/>
      </c>
      <c r="Q56" s="17">
        <f>IF('Plan setup'!$B$13="",0,MAX(0,MIN(MAX($L56,0),IF('Plan setup'!$C$13="",9E+15,'Plan setup'!$C$13*$G56))-'Plan setup'!$B$13*$G56))</f>
        <v/>
      </c>
      <c r="R56" s="17">
        <f>$H56*($N56*N('Plan setup'!$D$10)+$O56*N('Plan setup'!$D$11)+$P56*N('Plan setup'!$D$12)+$Q56*N('Plan setup'!$D$13))</f>
        <v/>
      </c>
      <c r="S56" s="17">
        <f>IF($C56=1,0,$U55)</f>
        <v/>
      </c>
      <c r="T56" s="17">
        <f>MAX(0,$R56-$S56)</f>
        <v/>
      </c>
      <c r="U56" s="17">
        <f>$S56+$T56</f>
        <v/>
      </c>
      <c r="V56" s="17">
        <f>MAX(0,$U56-$R56)</f>
        <v/>
      </c>
      <c r="W56">
        <f>IF($B56="","",IF($L56&lt;=0,"Tier 1","Tier "&amp;COUNTIF('Plan setup'!$B$10:$B$13,"&lt;="&amp;$M56)))</f>
        <v/>
      </c>
      <c r="X56" s="16">
        <f>IF($L56&gt;0,$R56/$L56,0)</f>
        <v/>
      </c>
    </row>
    <row r="57">
      <c r="A57">
        <f>INT((ROW()-2)/12)+1</f>
        <v/>
      </c>
      <c r="B57">
        <f>IF(INDEX('Plan setup'!$A$25:$A$34,$A57)="","",INDEX('Plan setup'!$A$25:$A$34,$A57))</f>
        <v/>
      </c>
      <c r="C57">
        <f>MOD(ROW()-2,12)+1</f>
        <v/>
      </c>
      <c r="D57" s="24">
        <f>EDATE('Plan setup'!$B$3,$C57-1)</f>
        <v/>
      </c>
      <c r="E57" s="24">
        <f>EDATE('Plan setup'!$B$3,$C57)-1</f>
        <v/>
      </c>
      <c r="F57">
        <f>$B57&amp;"|"&amp;$C57</f>
        <v/>
      </c>
      <c r="G57" s="17">
        <f>IF($B57="",0,IFERROR(INDEX('Plan setup'!$C$25:$C$34,$A57)*1,0))</f>
        <v/>
      </c>
      <c r="H57" s="16">
        <f>IF($B57="",0,IFERROR(INDEX('Plan setup'!$E$25:$E$34,$A57)*1,0))</f>
        <v/>
      </c>
      <c r="I57" s="17">
        <f>IF($B57="",0,SUMIFS(Deals!$N$2:$N$301,Deals!$F$2:$F$301,$B57,Deals!$B$2:$B$301,"&gt;="&amp;$D57,Deals!$B$2:$B$301,"&lt;="&amp;$E57)+SUMIFS(Deals!$O$2:$O$301,Deals!$H$2:$H$301,$B57,Deals!$B$2:$B$301,"&gt;="&amp;$D57,Deals!$B$2:$B$301,"&lt;="&amp;$E57))</f>
        <v/>
      </c>
      <c r="J57" s="17">
        <f>IF($B57="",0,SUMIFS(Deals!$N$2:$N$301,Deals!$F$2:$F$301,$B57,Deals!$Q$2:$Q$301,"&gt;="&amp;$D57,Deals!$Q$2:$Q$301,"&lt;="&amp;$E57)+SUMIFS(Deals!$O$2:$O$301,Deals!$H$2:$H$301,$B57,Deals!$Q$2:$Q$301,"&gt;="&amp;$D57,Deals!$Q$2:$Q$301,"&lt;="&amp;$E57))</f>
        <v/>
      </c>
      <c r="K57" s="17">
        <f>$I57-$J57</f>
        <v/>
      </c>
      <c r="L57" s="17">
        <f>IF($C57=1,$K57,$L56+$K57)</f>
        <v/>
      </c>
      <c r="M57" s="25">
        <f>IF($G57&gt;0,$L57/$G57,0)</f>
        <v/>
      </c>
      <c r="N57" s="17">
        <f>IF('Plan setup'!$B$10="",0,MAX(0,MIN(MAX($L57,0),IF('Plan setup'!$C$10="",9E+15,'Plan setup'!$C$10*$G57))-'Plan setup'!$B$10*$G57))</f>
        <v/>
      </c>
      <c r="O57" s="17">
        <f>IF('Plan setup'!$B$11="",0,MAX(0,MIN(MAX($L57,0),IF('Plan setup'!$C$11="",9E+15,'Plan setup'!$C$11*$G57))-'Plan setup'!$B$11*$G57))</f>
        <v/>
      </c>
      <c r="P57" s="17">
        <f>IF('Plan setup'!$B$12="",0,MAX(0,MIN(MAX($L57,0),IF('Plan setup'!$C$12="",9E+15,'Plan setup'!$C$12*$G57))-'Plan setup'!$B$12*$G57))</f>
        <v/>
      </c>
      <c r="Q57" s="17">
        <f>IF('Plan setup'!$B$13="",0,MAX(0,MIN(MAX($L57,0),IF('Plan setup'!$C$13="",9E+15,'Plan setup'!$C$13*$G57))-'Plan setup'!$B$13*$G57))</f>
        <v/>
      </c>
      <c r="R57" s="17">
        <f>$H57*($N57*N('Plan setup'!$D$10)+$O57*N('Plan setup'!$D$11)+$P57*N('Plan setup'!$D$12)+$Q57*N('Plan setup'!$D$13))</f>
        <v/>
      </c>
      <c r="S57" s="17">
        <f>IF($C57=1,0,$U56)</f>
        <v/>
      </c>
      <c r="T57" s="17">
        <f>MAX(0,$R57-$S57)</f>
        <v/>
      </c>
      <c r="U57" s="17">
        <f>$S57+$T57</f>
        <v/>
      </c>
      <c r="V57" s="17">
        <f>MAX(0,$U57-$R57)</f>
        <v/>
      </c>
      <c r="W57">
        <f>IF($B57="","",IF($L57&lt;=0,"Tier 1","Tier "&amp;COUNTIF('Plan setup'!$B$10:$B$13,"&lt;="&amp;$M57)))</f>
        <v/>
      </c>
      <c r="X57" s="16">
        <f>IF($L57&gt;0,$R57/$L57,0)</f>
        <v/>
      </c>
    </row>
    <row r="58">
      <c r="A58">
        <f>INT((ROW()-2)/12)+1</f>
        <v/>
      </c>
      <c r="B58">
        <f>IF(INDEX('Plan setup'!$A$25:$A$34,$A58)="","",INDEX('Plan setup'!$A$25:$A$34,$A58))</f>
        <v/>
      </c>
      <c r="C58">
        <f>MOD(ROW()-2,12)+1</f>
        <v/>
      </c>
      <c r="D58" s="24">
        <f>EDATE('Plan setup'!$B$3,$C58-1)</f>
        <v/>
      </c>
      <c r="E58" s="24">
        <f>EDATE('Plan setup'!$B$3,$C58)-1</f>
        <v/>
      </c>
      <c r="F58">
        <f>$B58&amp;"|"&amp;$C58</f>
        <v/>
      </c>
      <c r="G58" s="17">
        <f>IF($B58="",0,IFERROR(INDEX('Plan setup'!$C$25:$C$34,$A58)*1,0))</f>
        <v/>
      </c>
      <c r="H58" s="16">
        <f>IF($B58="",0,IFERROR(INDEX('Plan setup'!$E$25:$E$34,$A58)*1,0))</f>
        <v/>
      </c>
      <c r="I58" s="17">
        <f>IF($B58="",0,SUMIFS(Deals!$N$2:$N$301,Deals!$F$2:$F$301,$B58,Deals!$B$2:$B$301,"&gt;="&amp;$D58,Deals!$B$2:$B$301,"&lt;="&amp;$E58)+SUMIFS(Deals!$O$2:$O$301,Deals!$H$2:$H$301,$B58,Deals!$B$2:$B$301,"&gt;="&amp;$D58,Deals!$B$2:$B$301,"&lt;="&amp;$E58))</f>
        <v/>
      </c>
      <c r="J58" s="17">
        <f>IF($B58="",0,SUMIFS(Deals!$N$2:$N$301,Deals!$F$2:$F$301,$B58,Deals!$Q$2:$Q$301,"&gt;="&amp;$D58,Deals!$Q$2:$Q$301,"&lt;="&amp;$E58)+SUMIFS(Deals!$O$2:$O$301,Deals!$H$2:$H$301,$B58,Deals!$Q$2:$Q$301,"&gt;="&amp;$D58,Deals!$Q$2:$Q$301,"&lt;="&amp;$E58))</f>
        <v/>
      </c>
      <c r="K58" s="17">
        <f>$I58-$J58</f>
        <v/>
      </c>
      <c r="L58" s="17">
        <f>IF($C58=1,$K58,$L57+$K58)</f>
        <v/>
      </c>
      <c r="M58" s="25">
        <f>IF($G58&gt;0,$L58/$G58,0)</f>
        <v/>
      </c>
      <c r="N58" s="17">
        <f>IF('Plan setup'!$B$10="",0,MAX(0,MIN(MAX($L58,0),IF('Plan setup'!$C$10="",9E+15,'Plan setup'!$C$10*$G58))-'Plan setup'!$B$10*$G58))</f>
        <v/>
      </c>
      <c r="O58" s="17">
        <f>IF('Plan setup'!$B$11="",0,MAX(0,MIN(MAX($L58,0),IF('Plan setup'!$C$11="",9E+15,'Plan setup'!$C$11*$G58))-'Plan setup'!$B$11*$G58))</f>
        <v/>
      </c>
      <c r="P58" s="17">
        <f>IF('Plan setup'!$B$12="",0,MAX(0,MIN(MAX($L58,0),IF('Plan setup'!$C$12="",9E+15,'Plan setup'!$C$12*$G58))-'Plan setup'!$B$12*$G58))</f>
        <v/>
      </c>
      <c r="Q58" s="17">
        <f>IF('Plan setup'!$B$13="",0,MAX(0,MIN(MAX($L58,0),IF('Plan setup'!$C$13="",9E+15,'Plan setup'!$C$13*$G58))-'Plan setup'!$B$13*$G58))</f>
        <v/>
      </c>
      <c r="R58" s="17">
        <f>$H58*($N58*N('Plan setup'!$D$10)+$O58*N('Plan setup'!$D$11)+$P58*N('Plan setup'!$D$12)+$Q58*N('Plan setup'!$D$13))</f>
        <v/>
      </c>
      <c r="S58" s="17">
        <f>IF($C58=1,0,$U57)</f>
        <v/>
      </c>
      <c r="T58" s="17">
        <f>MAX(0,$R58-$S58)</f>
        <v/>
      </c>
      <c r="U58" s="17">
        <f>$S58+$T58</f>
        <v/>
      </c>
      <c r="V58" s="17">
        <f>MAX(0,$U58-$R58)</f>
        <v/>
      </c>
      <c r="W58">
        <f>IF($B58="","",IF($L58&lt;=0,"Tier 1","Tier "&amp;COUNTIF('Plan setup'!$B$10:$B$13,"&lt;="&amp;$M58)))</f>
        <v/>
      </c>
      <c r="X58" s="16">
        <f>IF($L58&gt;0,$R58/$L58,0)</f>
        <v/>
      </c>
    </row>
    <row r="59">
      <c r="A59">
        <f>INT((ROW()-2)/12)+1</f>
        <v/>
      </c>
      <c r="B59">
        <f>IF(INDEX('Plan setup'!$A$25:$A$34,$A59)="","",INDEX('Plan setup'!$A$25:$A$34,$A59))</f>
        <v/>
      </c>
      <c r="C59">
        <f>MOD(ROW()-2,12)+1</f>
        <v/>
      </c>
      <c r="D59" s="24">
        <f>EDATE('Plan setup'!$B$3,$C59-1)</f>
        <v/>
      </c>
      <c r="E59" s="24">
        <f>EDATE('Plan setup'!$B$3,$C59)-1</f>
        <v/>
      </c>
      <c r="F59">
        <f>$B59&amp;"|"&amp;$C59</f>
        <v/>
      </c>
      <c r="G59" s="17">
        <f>IF($B59="",0,IFERROR(INDEX('Plan setup'!$C$25:$C$34,$A59)*1,0))</f>
        <v/>
      </c>
      <c r="H59" s="16">
        <f>IF($B59="",0,IFERROR(INDEX('Plan setup'!$E$25:$E$34,$A59)*1,0))</f>
        <v/>
      </c>
      <c r="I59" s="17">
        <f>IF($B59="",0,SUMIFS(Deals!$N$2:$N$301,Deals!$F$2:$F$301,$B59,Deals!$B$2:$B$301,"&gt;="&amp;$D59,Deals!$B$2:$B$301,"&lt;="&amp;$E59)+SUMIFS(Deals!$O$2:$O$301,Deals!$H$2:$H$301,$B59,Deals!$B$2:$B$301,"&gt;="&amp;$D59,Deals!$B$2:$B$301,"&lt;="&amp;$E59))</f>
        <v/>
      </c>
      <c r="J59" s="17">
        <f>IF($B59="",0,SUMIFS(Deals!$N$2:$N$301,Deals!$F$2:$F$301,$B59,Deals!$Q$2:$Q$301,"&gt;="&amp;$D59,Deals!$Q$2:$Q$301,"&lt;="&amp;$E59)+SUMIFS(Deals!$O$2:$O$301,Deals!$H$2:$H$301,$B59,Deals!$Q$2:$Q$301,"&gt;="&amp;$D59,Deals!$Q$2:$Q$301,"&lt;="&amp;$E59))</f>
        <v/>
      </c>
      <c r="K59" s="17">
        <f>$I59-$J59</f>
        <v/>
      </c>
      <c r="L59" s="17">
        <f>IF($C59=1,$K59,$L58+$K59)</f>
        <v/>
      </c>
      <c r="M59" s="25">
        <f>IF($G59&gt;0,$L59/$G59,0)</f>
        <v/>
      </c>
      <c r="N59" s="17">
        <f>IF('Plan setup'!$B$10="",0,MAX(0,MIN(MAX($L59,0),IF('Plan setup'!$C$10="",9E+15,'Plan setup'!$C$10*$G59))-'Plan setup'!$B$10*$G59))</f>
        <v/>
      </c>
      <c r="O59" s="17">
        <f>IF('Plan setup'!$B$11="",0,MAX(0,MIN(MAX($L59,0),IF('Plan setup'!$C$11="",9E+15,'Plan setup'!$C$11*$G59))-'Plan setup'!$B$11*$G59))</f>
        <v/>
      </c>
      <c r="P59" s="17">
        <f>IF('Plan setup'!$B$12="",0,MAX(0,MIN(MAX($L59,0),IF('Plan setup'!$C$12="",9E+15,'Plan setup'!$C$12*$G59))-'Plan setup'!$B$12*$G59))</f>
        <v/>
      </c>
      <c r="Q59" s="17">
        <f>IF('Plan setup'!$B$13="",0,MAX(0,MIN(MAX($L59,0),IF('Plan setup'!$C$13="",9E+15,'Plan setup'!$C$13*$G59))-'Plan setup'!$B$13*$G59))</f>
        <v/>
      </c>
      <c r="R59" s="17">
        <f>$H59*($N59*N('Plan setup'!$D$10)+$O59*N('Plan setup'!$D$11)+$P59*N('Plan setup'!$D$12)+$Q59*N('Plan setup'!$D$13))</f>
        <v/>
      </c>
      <c r="S59" s="17">
        <f>IF($C59=1,0,$U58)</f>
        <v/>
      </c>
      <c r="T59" s="17">
        <f>MAX(0,$R59-$S59)</f>
        <v/>
      </c>
      <c r="U59" s="17">
        <f>$S59+$T59</f>
        <v/>
      </c>
      <c r="V59" s="17">
        <f>MAX(0,$U59-$R59)</f>
        <v/>
      </c>
      <c r="W59">
        <f>IF($B59="","",IF($L59&lt;=0,"Tier 1","Tier "&amp;COUNTIF('Plan setup'!$B$10:$B$13,"&lt;="&amp;$M59)))</f>
        <v/>
      </c>
      <c r="X59" s="16">
        <f>IF($L59&gt;0,$R59/$L59,0)</f>
        <v/>
      </c>
    </row>
    <row r="60">
      <c r="A60">
        <f>INT((ROW()-2)/12)+1</f>
        <v/>
      </c>
      <c r="B60">
        <f>IF(INDEX('Plan setup'!$A$25:$A$34,$A60)="","",INDEX('Plan setup'!$A$25:$A$34,$A60))</f>
        <v/>
      </c>
      <c r="C60">
        <f>MOD(ROW()-2,12)+1</f>
        <v/>
      </c>
      <c r="D60" s="24">
        <f>EDATE('Plan setup'!$B$3,$C60-1)</f>
        <v/>
      </c>
      <c r="E60" s="24">
        <f>EDATE('Plan setup'!$B$3,$C60)-1</f>
        <v/>
      </c>
      <c r="F60">
        <f>$B60&amp;"|"&amp;$C60</f>
        <v/>
      </c>
      <c r="G60" s="17">
        <f>IF($B60="",0,IFERROR(INDEX('Plan setup'!$C$25:$C$34,$A60)*1,0))</f>
        <v/>
      </c>
      <c r="H60" s="16">
        <f>IF($B60="",0,IFERROR(INDEX('Plan setup'!$E$25:$E$34,$A60)*1,0))</f>
        <v/>
      </c>
      <c r="I60" s="17">
        <f>IF($B60="",0,SUMIFS(Deals!$N$2:$N$301,Deals!$F$2:$F$301,$B60,Deals!$B$2:$B$301,"&gt;="&amp;$D60,Deals!$B$2:$B$301,"&lt;="&amp;$E60)+SUMIFS(Deals!$O$2:$O$301,Deals!$H$2:$H$301,$B60,Deals!$B$2:$B$301,"&gt;="&amp;$D60,Deals!$B$2:$B$301,"&lt;="&amp;$E60))</f>
        <v/>
      </c>
      <c r="J60" s="17">
        <f>IF($B60="",0,SUMIFS(Deals!$N$2:$N$301,Deals!$F$2:$F$301,$B60,Deals!$Q$2:$Q$301,"&gt;="&amp;$D60,Deals!$Q$2:$Q$301,"&lt;="&amp;$E60)+SUMIFS(Deals!$O$2:$O$301,Deals!$H$2:$H$301,$B60,Deals!$Q$2:$Q$301,"&gt;="&amp;$D60,Deals!$Q$2:$Q$301,"&lt;="&amp;$E60))</f>
        <v/>
      </c>
      <c r="K60" s="17">
        <f>$I60-$J60</f>
        <v/>
      </c>
      <c r="L60" s="17">
        <f>IF($C60=1,$K60,$L59+$K60)</f>
        <v/>
      </c>
      <c r="M60" s="25">
        <f>IF($G60&gt;0,$L60/$G60,0)</f>
        <v/>
      </c>
      <c r="N60" s="17">
        <f>IF('Plan setup'!$B$10="",0,MAX(0,MIN(MAX($L60,0),IF('Plan setup'!$C$10="",9E+15,'Plan setup'!$C$10*$G60))-'Plan setup'!$B$10*$G60))</f>
        <v/>
      </c>
      <c r="O60" s="17">
        <f>IF('Plan setup'!$B$11="",0,MAX(0,MIN(MAX($L60,0),IF('Plan setup'!$C$11="",9E+15,'Plan setup'!$C$11*$G60))-'Plan setup'!$B$11*$G60))</f>
        <v/>
      </c>
      <c r="P60" s="17">
        <f>IF('Plan setup'!$B$12="",0,MAX(0,MIN(MAX($L60,0),IF('Plan setup'!$C$12="",9E+15,'Plan setup'!$C$12*$G60))-'Plan setup'!$B$12*$G60))</f>
        <v/>
      </c>
      <c r="Q60" s="17">
        <f>IF('Plan setup'!$B$13="",0,MAX(0,MIN(MAX($L60,0),IF('Plan setup'!$C$13="",9E+15,'Plan setup'!$C$13*$G60))-'Plan setup'!$B$13*$G60))</f>
        <v/>
      </c>
      <c r="R60" s="17">
        <f>$H60*($N60*N('Plan setup'!$D$10)+$O60*N('Plan setup'!$D$11)+$P60*N('Plan setup'!$D$12)+$Q60*N('Plan setup'!$D$13))</f>
        <v/>
      </c>
      <c r="S60" s="17">
        <f>IF($C60=1,0,$U59)</f>
        <v/>
      </c>
      <c r="T60" s="17">
        <f>MAX(0,$R60-$S60)</f>
        <v/>
      </c>
      <c r="U60" s="17">
        <f>$S60+$T60</f>
        <v/>
      </c>
      <c r="V60" s="17">
        <f>MAX(0,$U60-$R60)</f>
        <v/>
      </c>
      <c r="W60">
        <f>IF($B60="","",IF($L60&lt;=0,"Tier 1","Tier "&amp;COUNTIF('Plan setup'!$B$10:$B$13,"&lt;="&amp;$M60)))</f>
        <v/>
      </c>
      <c r="X60" s="16">
        <f>IF($L60&gt;0,$R60/$L60,0)</f>
        <v/>
      </c>
    </row>
    <row r="61">
      <c r="A61">
        <f>INT((ROW()-2)/12)+1</f>
        <v/>
      </c>
      <c r="B61">
        <f>IF(INDEX('Plan setup'!$A$25:$A$34,$A61)="","",INDEX('Plan setup'!$A$25:$A$34,$A61))</f>
        <v/>
      </c>
      <c r="C61">
        <f>MOD(ROW()-2,12)+1</f>
        <v/>
      </c>
      <c r="D61" s="24">
        <f>EDATE('Plan setup'!$B$3,$C61-1)</f>
        <v/>
      </c>
      <c r="E61" s="24">
        <f>EDATE('Plan setup'!$B$3,$C61)-1</f>
        <v/>
      </c>
      <c r="F61">
        <f>$B61&amp;"|"&amp;$C61</f>
        <v/>
      </c>
      <c r="G61" s="17">
        <f>IF($B61="",0,IFERROR(INDEX('Plan setup'!$C$25:$C$34,$A61)*1,0))</f>
        <v/>
      </c>
      <c r="H61" s="16">
        <f>IF($B61="",0,IFERROR(INDEX('Plan setup'!$E$25:$E$34,$A61)*1,0))</f>
        <v/>
      </c>
      <c r="I61" s="17">
        <f>IF($B61="",0,SUMIFS(Deals!$N$2:$N$301,Deals!$F$2:$F$301,$B61,Deals!$B$2:$B$301,"&gt;="&amp;$D61,Deals!$B$2:$B$301,"&lt;="&amp;$E61)+SUMIFS(Deals!$O$2:$O$301,Deals!$H$2:$H$301,$B61,Deals!$B$2:$B$301,"&gt;="&amp;$D61,Deals!$B$2:$B$301,"&lt;="&amp;$E61))</f>
        <v/>
      </c>
      <c r="J61" s="17">
        <f>IF($B61="",0,SUMIFS(Deals!$N$2:$N$301,Deals!$F$2:$F$301,$B61,Deals!$Q$2:$Q$301,"&gt;="&amp;$D61,Deals!$Q$2:$Q$301,"&lt;="&amp;$E61)+SUMIFS(Deals!$O$2:$O$301,Deals!$H$2:$H$301,$B61,Deals!$Q$2:$Q$301,"&gt;="&amp;$D61,Deals!$Q$2:$Q$301,"&lt;="&amp;$E61))</f>
        <v/>
      </c>
      <c r="K61" s="17">
        <f>$I61-$J61</f>
        <v/>
      </c>
      <c r="L61" s="17">
        <f>IF($C61=1,$K61,$L60+$K61)</f>
        <v/>
      </c>
      <c r="M61" s="25">
        <f>IF($G61&gt;0,$L61/$G61,0)</f>
        <v/>
      </c>
      <c r="N61" s="17">
        <f>IF('Plan setup'!$B$10="",0,MAX(0,MIN(MAX($L61,0),IF('Plan setup'!$C$10="",9E+15,'Plan setup'!$C$10*$G61))-'Plan setup'!$B$10*$G61))</f>
        <v/>
      </c>
      <c r="O61" s="17">
        <f>IF('Plan setup'!$B$11="",0,MAX(0,MIN(MAX($L61,0),IF('Plan setup'!$C$11="",9E+15,'Plan setup'!$C$11*$G61))-'Plan setup'!$B$11*$G61))</f>
        <v/>
      </c>
      <c r="P61" s="17">
        <f>IF('Plan setup'!$B$12="",0,MAX(0,MIN(MAX($L61,0),IF('Plan setup'!$C$12="",9E+15,'Plan setup'!$C$12*$G61))-'Plan setup'!$B$12*$G61))</f>
        <v/>
      </c>
      <c r="Q61" s="17">
        <f>IF('Plan setup'!$B$13="",0,MAX(0,MIN(MAX($L61,0),IF('Plan setup'!$C$13="",9E+15,'Plan setup'!$C$13*$G61))-'Plan setup'!$B$13*$G61))</f>
        <v/>
      </c>
      <c r="R61" s="17">
        <f>$H61*($N61*N('Plan setup'!$D$10)+$O61*N('Plan setup'!$D$11)+$P61*N('Plan setup'!$D$12)+$Q61*N('Plan setup'!$D$13))</f>
        <v/>
      </c>
      <c r="S61" s="17">
        <f>IF($C61=1,0,$U60)</f>
        <v/>
      </c>
      <c r="T61" s="17">
        <f>MAX(0,$R61-$S61)</f>
        <v/>
      </c>
      <c r="U61" s="17">
        <f>$S61+$T61</f>
        <v/>
      </c>
      <c r="V61" s="17">
        <f>MAX(0,$U61-$R61)</f>
        <v/>
      </c>
      <c r="W61">
        <f>IF($B61="","",IF($L61&lt;=0,"Tier 1","Tier "&amp;COUNTIF('Plan setup'!$B$10:$B$13,"&lt;="&amp;$M61)))</f>
        <v/>
      </c>
      <c r="X61" s="16">
        <f>IF($L61&gt;0,$R61/$L61,0)</f>
        <v/>
      </c>
    </row>
    <row r="62">
      <c r="A62">
        <f>INT((ROW()-2)/12)+1</f>
        <v/>
      </c>
      <c r="B62">
        <f>IF(INDEX('Plan setup'!$A$25:$A$34,$A62)="","",INDEX('Plan setup'!$A$25:$A$34,$A62))</f>
        <v/>
      </c>
      <c r="C62">
        <f>MOD(ROW()-2,12)+1</f>
        <v/>
      </c>
      <c r="D62" s="24">
        <f>EDATE('Plan setup'!$B$3,$C62-1)</f>
        <v/>
      </c>
      <c r="E62" s="24">
        <f>EDATE('Plan setup'!$B$3,$C62)-1</f>
        <v/>
      </c>
      <c r="F62">
        <f>$B62&amp;"|"&amp;$C62</f>
        <v/>
      </c>
      <c r="G62" s="17">
        <f>IF($B62="",0,IFERROR(INDEX('Plan setup'!$C$25:$C$34,$A62)*1,0))</f>
        <v/>
      </c>
      <c r="H62" s="16">
        <f>IF($B62="",0,IFERROR(INDEX('Plan setup'!$E$25:$E$34,$A62)*1,0))</f>
        <v/>
      </c>
      <c r="I62" s="17">
        <f>IF($B62="",0,SUMIFS(Deals!$N$2:$N$301,Deals!$F$2:$F$301,$B62,Deals!$B$2:$B$301,"&gt;="&amp;$D62,Deals!$B$2:$B$301,"&lt;="&amp;$E62)+SUMIFS(Deals!$O$2:$O$301,Deals!$H$2:$H$301,$B62,Deals!$B$2:$B$301,"&gt;="&amp;$D62,Deals!$B$2:$B$301,"&lt;="&amp;$E62))</f>
        <v/>
      </c>
      <c r="J62" s="17">
        <f>IF($B62="",0,SUMIFS(Deals!$N$2:$N$301,Deals!$F$2:$F$301,$B62,Deals!$Q$2:$Q$301,"&gt;="&amp;$D62,Deals!$Q$2:$Q$301,"&lt;="&amp;$E62)+SUMIFS(Deals!$O$2:$O$301,Deals!$H$2:$H$301,$B62,Deals!$Q$2:$Q$301,"&gt;="&amp;$D62,Deals!$Q$2:$Q$301,"&lt;="&amp;$E62))</f>
        <v/>
      </c>
      <c r="K62" s="17">
        <f>$I62-$J62</f>
        <v/>
      </c>
      <c r="L62" s="17">
        <f>IF($C62=1,$K62,$L61+$K62)</f>
        <v/>
      </c>
      <c r="M62" s="25">
        <f>IF($G62&gt;0,$L62/$G62,0)</f>
        <v/>
      </c>
      <c r="N62" s="17">
        <f>IF('Plan setup'!$B$10="",0,MAX(0,MIN(MAX($L62,0),IF('Plan setup'!$C$10="",9E+15,'Plan setup'!$C$10*$G62))-'Plan setup'!$B$10*$G62))</f>
        <v/>
      </c>
      <c r="O62" s="17">
        <f>IF('Plan setup'!$B$11="",0,MAX(0,MIN(MAX($L62,0),IF('Plan setup'!$C$11="",9E+15,'Plan setup'!$C$11*$G62))-'Plan setup'!$B$11*$G62))</f>
        <v/>
      </c>
      <c r="P62" s="17">
        <f>IF('Plan setup'!$B$12="",0,MAX(0,MIN(MAX($L62,0),IF('Plan setup'!$C$12="",9E+15,'Plan setup'!$C$12*$G62))-'Plan setup'!$B$12*$G62))</f>
        <v/>
      </c>
      <c r="Q62" s="17">
        <f>IF('Plan setup'!$B$13="",0,MAX(0,MIN(MAX($L62,0),IF('Plan setup'!$C$13="",9E+15,'Plan setup'!$C$13*$G62))-'Plan setup'!$B$13*$G62))</f>
        <v/>
      </c>
      <c r="R62" s="17">
        <f>$H62*($N62*N('Plan setup'!$D$10)+$O62*N('Plan setup'!$D$11)+$P62*N('Plan setup'!$D$12)+$Q62*N('Plan setup'!$D$13))</f>
        <v/>
      </c>
      <c r="S62" s="17">
        <f>IF($C62=1,0,$U61)</f>
        <v/>
      </c>
      <c r="T62" s="17">
        <f>MAX(0,$R62-$S62)</f>
        <v/>
      </c>
      <c r="U62" s="17">
        <f>$S62+$T62</f>
        <v/>
      </c>
      <c r="V62" s="17">
        <f>MAX(0,$U62-$R62)</f>
        <v/>
      </c>
      <c r="W62">
        <f>IF($B62="","",IF($L62&lt;=0,"Tier 1","Tier "&amp;COUNTIF('Plan setup'!$B$10:$B$13,"&lt;="&amp;$M62)))</f>
        <v/>
      </c>
      <c r="X62" s="16">
        <f>IF($L62&gt;0,$R62/$L62,0)</f>
        <v/>
      </c>
    </row>
    <row r="63">
      <c r="A63">
        <f>INT((ROW()-2)/12)+1</f>
        <v/>
      </c>
      <c r="B63">
        <f>IF(INDEX('Plan setup'!$A$25:$A$34,$A63)="","",INDEX('Plan setup'!$A$25:$A$34,$A63))</f>
        <v/>
      </c>
      <c r="C63">
        <f>MOD(ROW()-2,12)+1</f>
        <v/>
      </c>
      <c r="D63" s="24">
        <f>EDATE('Plan setup'!$B$3,$C63-1)</f>
        <v/>
      </c>
      <c r="E63" s="24">
        <f>EDATE('Plan setup'!$B$3,$C63)-1</f>
        <v/>
      </c>
      <c r="F63">
        <f>$B63&amp;"|"&amp;$C63</f>
        <v/>
      </c>
      <c r="G63" s="17">
        <f>IF($B63="",0,IFERROR(INDEX('Plan setup'!$C$25:$C$34,$A63)*1,0))</f>
        <v/>
      </c>
      <c r="H63" s="16">
        <f>IF($B63="",0,IFERROR(INDEX('Plan setup'!$E$25:$E$34,$A63)*1,0))</f>
        <v/>
      </c>
      <c r="I63" s="17">
        <f>IF($B63="",0,SUMIFS(Deals!$N$2:$N$301,Deals!$F$2:$F$301,$B63,Deals!$B$2:$B$301,"&gt;="&amp;$D63,Deals!$B$2:$B$301,"&lt;="&amp;$E63)+SUMIFS(Deals!$O$2:$O$301,Deals!$H$2:$H$301,$B63,Deals!$B$2:$B$301,"&gt;="&amp;$D63,Deals!$B$2:$B$301,"&lt;="&amp;$E63))</f>
        <v/>
      </c>
      <c r="J63" s="17">
        <f>IF($B63="",0,SUMIFS(Deals!$N$2:$N$301,Deals!$F$2:$F$301,$B63,Deals!$Q$2:$Q$301,"&gt;="&amp;$D63,Deals!$Q$2:$Q$301,"&lt;="&amp;$E63)+SUMIFS(Deals!$O$2:$O$301,Deals!$H$2:$H$301,$B63,Deals!$Q$2:$Q$301,"&gt;="&amp;$D63,Deals!$Q$2:$Q$301,"&lt;="&amp;$E63))</f>
        <v/>
      </c>
      <c r="K63" s="17">
        <f>$I63-$J63</f>
        <v/>
      </c>
      <c r="L63" s="17">
        <f>IF($C63=1,$K63,$L62+$K63)</f>
        <v/>
      </c>
      <c r="M63" s="25">
        <f>IF($G63&gt;0,$L63/$G63,0)</f>
        <v/>
      </c>
      <c r="N63" s="17">
        <f>IF('Plan setup'!$B$10="",0,MAX(0,MIN(MAX($L63,0),IF('Plan setup'!$C$10="",9E+15,'Plan setup'!$C$10*$G63))-'Plan setup'!$B$10*$G63))</f>
        <v/>
      </c>
      <c r="O63" s="17">
        <f>IF('Plan setup'!$B$11="",0,MAX(0,MIN(MAX($L63,0),IF('Plan setup'!$C$11="",9E+15,'Plan setup'!$C$11*$G63))-'Plan setup'!$B$11*$G63))</f>
        <v/>
      </c>
      <c r="P63" s="17">
        <f>IF('Plan setup'!$B$12="",0,MAX(0,MIN(MAX($L63,0),IF('Plan setup'!$C$12="",9E+15,'Plan setup'!$C$12*$G63))-'Plan setup'!$B$12*$G63))</f>
        <v/>
      </c>
      <c r="Q63" s="17">
        <f>IF('Plan setup'!$B$13="",0,MAX(0,MIN(MAX($L63,0),IF('Plan setup'!$C$13="",9E+15,'Plan setup'!$C$13*$G63))-'Plan setup'!$B$13*$G63))</f>
        <v/>
      </c>
      <c r="R63" s="17">
        <f>$H63*($N63*N('Plan setup'!$D$10)+$O63*N('Plan setup'!$D$11)+$P63*N('Plan setup'!$D$12)+$Q63*N('Plan setup'!$D$13))</f>
        <v/>
      </c>
      <c r="S63" s="17">
        <f>IF($C63=1,0,$U62)</f>
        <v/>
      </c>
      <c r="T63" s="17">
        <f>MAX(0,$R63-$S63)</f>
        <v/>
      </c>
      <c r="U63" s="17">
        <f>$S63+$T63</f>
        <v/>
      </c>
      <c r="V63" s="17">
        <f>MAX(0,$U63-$R63)</f>
        <v/>
      </c>
      <c r="W63">
        <f>IF($B63="","",IF($L63&lt;=0,"Tier 1","Tier "&amp;COUNTIF('Plan setup'!$B$10:$B$13,"&lt;="&amp;$M63)))</f>
        <v/>
      </c>
      <c r="X63" s="16">
        <f>IF($L63&gt;0,$R63/$L63,0)</f>
        <v/>
      </c>
    </row>
    <row r="64">
      <c r="A64">
        <f>INT((ROW()-2)/12)+1</f>
        <v/>
      </c>
      <c r="B64">
        <f>IF(INDEX('Plan setup'!$A$25:$A$34,$A64)="","",INDEX('Plan setup'!$A$25:$A$34,$A64))</f>
        <v/>
      </c>
      <c r="C64">
        <f>MOD(ROW()-2,12)+1</f>
        <v/>
      </c>
      <c r="D64" s="24">
        <f>EDATE('Plan setup'!$B$3,$C64-1)</f>
        <v/>
      </c>
      <c r="E64" s="24">
        <f>EDATE('Plan setup'!$B$3,$C64)-1</f>
        <v/>
      </c>
      <c r="F64">
        <f>$B64&amp;"|"&amp;$C64</f>
        <v/>
      </c>
      <c r="G64" s="17">
        <f>IF($B64="",0,IFERROR(INDEX('Plan setup'!$C$25:$C$34,$A64)*1,0))</f>
        <v/>
      </c>
      <c r="H64" s="16">
        <f>IF($B64="",0,IFERROR(INDEX('Plan setup'!$E$25:$E$34,$A64)*1,0))</f>
        <v/>
      </c>
      <c r="I64" s="17">
        <f>IF($B64="",0,SUMIFS(Deals!$N$2:$N$301,Deals!$F$2:$F$301,$B64,Deals!$B$2:$B$301,"&gt;="&amp;$D64,Deals!$B$2:$B$301,"&lt;="&amp;$E64)+SUMIFS(Deals!$O$2:$O$301,Deals!$H$2:$H$301,$B64,Deals!$B$2:$B$301,"&gt;="&amp;$D64,Deals!$B$2:$B$301,"&lt;="&amp;$E64))</f>
        <v/>
      </c>
      <c r="J64" s="17">
        <f>IF($B64="",0,SUMIFS(Deals!$N$2:$N$301,Deals!$F$2:$F$301,$B64,Deals!$Q$2:$Q$301,"&gt;="&amp;$D64,Deals!$Q$2:$Q$301,"&lt;="&amp;$E64)+SUMIFS(Deals!$O$2:$O$301,Deals!$H$2:$H$301,$B64,Deals!$Q$2:$Q$301,"&gt;="&amp;$D64,Deals!$Q$2:$Q$301,"&lt;="&amp;$E64))</f>
        <v/>
      </c>
      <c r="K64" s="17">
        <f>$I64-$J64</f>
        <v/>
      </c>
      <c r="L64" s="17">
        <f>IF($C64=1,$K64,$L63+$K64)</f>
        <v/>
      </c>
      <c r="M64" s="25">
        <f>IF($G64&gt;0,$L64/$G64,0)</f>
        <v/>
      </c>
      <c r="N64" s="17">
        <f>IF('Plan setup'!$B$10="",0,MAX(0,MIN(MAX($L64,0),IF('Plan setup'!$C$10="",9E+15,'Plan setup'!$C$10*$G64))-'Plan setup'!$B$10*$G64))</f>
        <v/>
      </c>
      <c r="O64" s="17">
        <f>IF('Plan setup'!$B$11="",0,MAX(0,MIN(MAX($L64,0),IF('Plan setup'!$C$11="",9E+15,'Plan setup'!$C$11*$G64))-'Plan setup'!$B$11*$G64))</f>
        <v/>
      </c>
      <c r="P64" s="17">
        <f>IF('Plan setup'!$B$12="",0,MAX(0,MIN(MAX($L64,0),IF('Plan setup'!$C$12="",9E+15,'Plan setup'!$C$12*$G64))-'Plan setup'!$B$12*$G64))</f>
        <v/>
      </c>
      <c r="Q64" s="17">
        <f>IF('Plan setup'!$B$13="",0,MAX(0,MIN(MAX($L64,0),IF('Plan setup'!$C$13="",9E+15,'Plan setup'!$C$13*$G64))-'Plan setup'!$B$13*$G64))</f>
        <v/>
      </c>
      <c r="R64" s="17">
        <f>$H64*($N64*N('Plan setup'!$D$10)+$O64*N('Plan setup'!$D$11)+$P64*N('Plan setup'!$D$12)+$Q64*N('Plan setup'!$D$13))</f>
        <v/>
      </c>
      <c r="S64" s="17">
        <f>IF($C64=1,0,$U63)</f>
        <v/>
      </c>
      <c r="T64" s="17">
        <f>MAX(0,$R64-$S64)</f>
        <v/>
      </c>
      <c r="U64" s="17">
        <f>$S64+$T64</f>
        <v/>
      </c>
      <c r="V64" s="17">
        <f>MAX(0,$U64-$R64)</f>
        <v/>
      </c>
      <c r="W64">
        <f>IF($B64="","",IF($L64&lt;=0,"Tier 1","Tier "&amp;COUNTIF('Plan setup'!$B$10:$B$13,"&lt;="&amp;$M64)))</f>
        <v/>
      </c>
      <c r="X64" s="16">
        <f>IF($L64&gt;0,$R64/$L64,0)</f>
        <v/>
      </c>
    </row>
    <row r="65">
      <c r="A65">
        <f>INT((ROW()-2)/12)+1</f>
        <v/>
      </c>
      <c r="B65">
        <f>IF(INDEX('Plan setup'!$A$25:$A$34,$A65)="","",INDEX('Plan setup'!$A$25:$A$34,$A65))</f>
        <v/>
      </c>
      <c r="C65">
        <f>MOD(ROW()-2,12)+1</f>
        <v/>
      </c>
      <c r="D65" s="24">
        <f>EDATE('Plan setup'!$B$3,$C65-1)</f>
        <v/>
      </c>
      <c r="E65" s="24">
        <f>EDATE('Plan setup'!$B$3,$C65)-1</f>
        <v/>
      </c>
      <c r="F65">
        <f>$B65&amp;"|"&amp;$C65</f>
        <v/>
      </c>
      <c r="G65" s="17">
        <f>IF($B65="",0,IFERROR(INDEX('Plan setup'!$C$25:$C$34,$A65)*1,0))</f>
        <v/>
      </c>
      <c r="H65" s="16">
        <f>IF($B65="",0,IFERROR(INDEX('Plan setup'!$E$25:$E$34,$A65)*1,0))</f>
        <v/>
      </c>
      <c r="I65" s="17">
        <f>IF($B65="",0,SUMIFS(Deals!$N$2:$N$301,Deals!$F$2:$F$301,$B65,Deals!$B$2:$B$301,"&gt;="&amp;$D65,Deals!$B$2:$B$301,"&lt;="&amp;$E65)+SUMIFS(Deals!$O$2:$O$301,Deals!$H$2:$H$301,$B65,Deals!$B$2:$B$301,"&gt;="&amp;$D65,Deals!$B$2:$B$301,"&lt;="&amp;$E65))</f>
        <v/>
      </c>
      <c r="J65" s="17">
        <f>IF($B65="",0,SUMIFS(Deals!$N$2:$N$301,Deals!$F$2:$F$301,$B65,Deals!$Q$2:$Q$301,"&gt;="&amp;$D65,Deals!$Q$2:$Q$301,"&lt;="&amp;$E65)+SUMIFS(Deals!$O$2:$O$301,Deals!$H$2:$H$301,$B65,Deals!$Q$2:$Q$301,"&gt;="&amp;$D65,Deals!$Q$2:$Q$301,"&lt;="&amp;$E65))</f>
        <v/>
      </c>
      <c r="K65" s="17">
        <f>$I65-$J65</f>
        <v/>
      </c>
      <c r="L65" s="17">
        <f>IF($C65=1,$K65,$L64+$K65)</f>
        <v/>
      </c>
      <c r="M65" s="25">
        <f>IF($G65&gt;0,$L65/$G65,0)</f>
        <v/>
      </c>
      <c r="N65" s="17">
        <f>IF('Plan setup'!$B$10="",0,MAX(0,MIN(MAX($L65,0),IF('Plan setup'!$C$10="",9E+15,'Plan setup'!$C$10*$G65))-'Plan setup'!$B$10*$G65))</f>
        <v/>
      </c>
      <c r="O65" s="17">
        <f>IF('Plan setup'!$B$11="",0,MAX(0,MIN(MAX($L65,0),IF('Plan setup'!$C$11="",9E+15,'Plan setup'!$C$11*$G65))-'Plan setup'!$B$11*$G65))</f>
        <v/>
      </c>
      <c r="P65" s="17">
        <f>IF('Plan setup'!$B$12="",0,MAX(0,MIN(MAX($L65,0),IF('Plan setup'!$C$12="",9E+15,'Plan setup'!$C$12*$G65))-'Plan setup'!$B$12*$G65))</f>
        <v/>
      </c>
      <c r="Q65" s="17">
        <f>IF('Plan setup'!$B$13="",0,MAX(0,MIN(MAX($L65,0),IF('Plan setup'!$C$13="",9E+15,'Plan setup'!$C$13*$G65))-'Plan setup'!$B$13*$G65))</f>
        <v/>
      </c>
      <c r="R65" s="17">
        <f>$H65*($N65*N('Plan setup'!$D$10)+$O65*N('Plan setup'!$D$11)+$P65*N('Plan setup'!$D$12)+$Q65*N('Plan setup'!$D$13))</f>
        <v/>
      </c>
      <c r="S65" s="17">
        <f>IF($C65=1,0,$U64)</f>
        <v/>
      </c>
      <c r="T65" s="17">
        <f>MAX(0,$R65-$S65)</f>
        <v/>
      </c>
      <c r="U65" s="17">
        <f>$S65+$T65</f>
        <v/>
      </c>
      <c r="V65" s="17">
        <f>MAX(0,$U65-$R65)</f>
        <v/>
      </c>
      <c r="W65">
        <f>IF($B65="","",IF($L65&lt;=0,"Tier 1","Tier "&amp;COUNTIF('Plan setup'!$B$10:$B$13,"&lt;="&amp;$M65)))</f>
        <v/>
      </c>
      <c r="X65" s="16">
        <f>IF($L65&gt;0,$R65/$L65,0)</f>
        <v/>
      </c>
    </row>
    <row r="66">
      <c r="A66">
        <f>INT((ROW()-2)/12)+1</f>
        <v/>
      </c>
      <c r="B66">
        <f>IF(INDEX('Plan setup'!$A$25:$A$34,$A66)="","",INDEX('Plan setup'!$A$25:$A$34,$A66))</f>
        <v/>
      </c>
      <c r="C66">
        <f>MOD(ROW()-2,12)+1</f>
        <v/>
      </c>
      <c r="D66" s="24">
        <f>EDATE('Plan setup'!$B$3,$C66-1)</f>
        <v/>
      </c>
      <c r="E66" s="24">
        <f>EDATE('Plan setup'!$B$3,$C66)-1</f>
        <v/>
      </c>
      <c r="F66">
        <f>$B66&amp;"|"&amp;$C66</f>
        <v/>
      </c>
      <c r="G66" s="17">
        <f>IF($B66="",0,IFERROR(INDEX('Plan setup'!$C$25:$C$34,$A66)*1,0))</f>
        <v/>
      </c>
      <c r="H66" s="16">
        <f>IF($B66="",0,IFERROR(INDEX('Plan setup'!$E$25:$E$34,$A66)*1,0))</f>
        <v/>
      </c>
      <c r="I66" s="17">
        <f>IF($B66="",0,SUMIFS(Deals!$N$2:$N$301,Deals!$F$2:$F$301,$B66,Deals!$B$2:$B$301,"&gt;="&amp;$D66,Deals!$B$2:$B$301,"&lt;="&amp;$E66)+SUMIFS(Deals!$O$2:$O$301,Deals!$H$2:$H$301,$B66,Deals!$B$2:$B$301,"&gt;="&amp;$D66,Deals!$B$2:$B$301,"&lt;="&amp;$E66))</f>
        <v/>
      </c>
      <c r="J66" s="17">
        <f>IF($B66="",0,SUMIFS(Deals!$N$2:$N$301,Deals!$F$2:$F$301,$B66,Deals!$Q$2:$Q$301,"&gt;="&amp;$D66,Deals!$Q$2:$Q$301,"&lt;="&amp;$E66)+SUMIFS(Deals!$O$2:$O$301,Deals!$H$2:$H$301,$B66,Deals!$Q$2:$Q$301,"&gt;="&amp;$D66,Deals!$Q$2:$Q$301,"&lt;="&amp;$E66))</f>
        <v/>
      </c>
      <c r="K66" s="17">
        <f>$I66-$J66</f>
        <v/>
      </c>
      <c r="L66" s="17">
        <f>IF($C66=1,$K66,$L65+$K66)</f>
        <v/>
      </c>
      <c r="M66" s="25">
        <f>IF($G66&gt;0,$L66/$G66,0)</f>
        <v/>
      </c>
      <c r="N66" s="17">
        <f>IF('Plan setup'!$B$10="",0,MAX(0,MIN(MAX($L66,0),IF('Plan setup'!$C$10="",9E+15,'Plan setup'!$C$10*$G66))-'Plan setup'!$B$10*$G66))</f>
        <v/>
      </c>
      <c r="O66" s="17">
        <f>IF('Plan setup'!$B$11="",0,MAX(0,MIN(MAX($L66,0),IF('Plan setup'!$C$11="",9E+15,'Plan setup'!$C$11*$G66))-'Plan setup'!$B$11*$G66))</f>
        <v/>
      </c>
      <c r="P66" s="17">
        <f>IF('Plan setup'!$B$12="",0,MAX(0,MIN(MAX($L66,0),IF('Plan setup'!$C$12="",9E+15,'Plan setup'!$C$12*$G66))-'Plan setup'!$B$12*$G66))</f>
        <v/>
      </c>
      <c r="Q66" s="17">
        <f>IF('Plan setup'!$B$13="",0,MAX(0,MIN(MAX($L66,0),IF('Plan setup'!$C$13="",9E+15,'Plan setup'!$C$13*$G66))-'Plan setup'!$B$13*$G66))</f>
        <v/>
      </c>
      <c r="R66" s="17">
        <f>$H66*($N66*N('Plan setup'!$D$10)+$O66*N('Plan setup'!$D$11)+$P66*N('Plan setup'!$D$12)+$Q66*N('Plan setup'!$D$13))</f>
        <v/>
      </c>
      <c r="S66" s="17">
        <f>IF($C66=1,0,$U65)</f>
        <v/>
      </c>
      <c r="T66" s="17">
        <f>MAX(0,$R66-$S66)</f>
        <v/>
      </c>
      <c r="U66" s="17">
        <f>$S66+$T66</f>
        <v/>
      </c>
      <c r="V66" s="17">
        <f>MAX(0,$U66-$R66)</f>
        <v/>
      </c>
      <c r="W66">
        <f>IF($B66="","",IF($L66&lt;=0,"Tier 1","Tier "&amp;COUNTIF('Plan setup'!$B$10:$B$13,"&lt;="&amp;$M66)))</f>
        <v/>
      </c>
      <c r="X66" s="16">
        <f>IF($L66&gt;0,$R66/$L66,0)</f>
        <v/>
      </c>
    </row>
    <row r="67">
      <c r="A67">
        <f>INT((ROW()-2)/12)+1</f>
        <v/>
      </c>
      <c r="B67">
        <f>IF(INDEX('Plan setup'!$A$25:$A$34,$A67)="","",INDEX('Plan setup'!$A$25:$A$34,$A67))</f>
        <v/>
      </c>
      <c r="C67">
        <f>MOD(ROW()-2,12)+1</f>
        <v/>
      </c>
      <c r="D67" s="24">
        <f>EDATE('Plan setup'!$B$3,$C67-1)</f>
        <v/>
      </c>
      <c r="E67" s="24">
        <f>EDATE('Plan setup'!$B$3,$C67)-1</f>
        <v/>
      </c>
      <c r="F67">
        <f>$B67&amp;"|"&amp;$C67</f>
        <v/>
      </c>
      <c r="G67" s="17">
        <f>IF($B67="",0,IFERROR(INDEX('Plan setup'!$C$25:$C$34,$A67)*1,0))</f>
        <v/>
      </c>
      <c r="H67" s="16">
        <f>IF($B67="",0,IFERROR(INDEX('Plan setup'!$E$25:$E$34,$A67)*1,0))</f>
        <v/>
      </c>
      <c r="I67" s="17">
        <f>IF($B67="",0,SUMIFS(Deals!$N$2:$N$301,Deals!$F$2:$F$301,$B67,Deals!$B$2:$B$301,"&gt;="&amp;$D67,Deals!$B$2:$B$301,"&lt;="&amp;$E67)+SUMIFS(Deals!$O$2:$O$301,Deals!$H$2:$H$301,$B67,Deals!$B$2:$B$301,"&gt;="&amp;$D67,Deals!$B$2:$B$301,"&lt;="&amp;$E67))</f>
        <v/>
      </c>
      <c r="J67" s="17">
        <f>IF($B67="",0,SUMIFS(Deals!$N$2:$N$301,Deals!$F$2:$F$301,$B67,Deals!$Q$2:$Q$301,"&gt;="&amp;$D67,Deals!$Q$2:$Q$301,"&lt;="&amp;$E67)+SUMIFS(Deals!$O$2:$O$301,Deals!$H$2:$H$301,$B67,Deals!$Q$2:$Q$301,"&gt;="&amp;$D67,Deals!$Q$2:$Q$301,"&lt;="&amp;$E67))</f>
        <v/>
      </c>
      <c r="K67" s="17">
        <f>$I67-$J67</f>
        <v/>
      </c>
      <c r="L67" s="17">
        <f>IF($C67=1,$K67,$L66+$K67)</f>
        <v/>
      </c>
      <c r="M67" s="25">
        <f>IF($G67&gt;0,$L67/$G67,0)</f>
        <v/>
      </c>
      <c r="N67" s="17">
        <f>IF('Plan setup'!$B$10="",0,MAX(0,MIN(MAX($L67,0),IF('Plan setup'!$C$10="",9E+15,'Plan setup'!$C$10*$G67))-'Plan setup'!$B$10*$G67))</f>
        <v/>
      </c>
      <c r="O67" s="17">
        <f>IF('Plan setup'!$B$11="",0,MAX(0,MIN(MAX($L67,0),IF('Plan setup'!$C$11="",9E+15,'Plan setup'!$C$11*$G67))-'Plan setup'!$B$11*$G67))</f>
        <v/>
      </c>
      <c r="P67" s="17">
        <f>IF('Plan setup'!$B$12="",0,MAX(0,MIN(MAX($L67,0),IF('Plan setup'!$C$12="",9E+15,'Plan setup'!$C$12*$G67))-'Plan setup'!$B$12*$G67))</f>
        <v/>
      </c>
      <c r="Q67" s="17">
        <f>IF('Plan setup'!$B$13="",0,MAX(0,MIN(MAX($L67,0),IF('Plan setup'!$C$13="",9E+15,'Plan setup'!$C$13*$G67))-'Plan setup'!$B$13*$G67))</f>
        <v/>
      </c>
      <c r="R67" s="17">
        <f>$H67*($N67*N('Plan setup'!$D$10)+$O67*N('Plan setup'!$D$11)+$P67*N('Plan setup'!$D$12)+$Q67*N('Plan setup'!$D$13))</f>
        <v/>
      </c>
      <c r="S67" s="17">
        <f>IF($C67=1,0,$U66)</f>
        <v/>
      </c>
      <c r="T67" s="17">
        <f>MAX(0,$R67-$S67)</f>
        <v/>
      </c>
      <c r="U67" s="17">
        <f>$S67+$T67</f>
        <v/>
      </c>
      <c r="V67" s="17">
        <f>MAX(0,$U67-$R67)</f>
        <v/>
      </c>
      <c r="W67">
        <f>IF($B67="","",IF($L67&lt;=0,"Tier 1","Tier "&amp;COUNTIF('Plan setup'!$B$10:$B$13,"&lt;="&amp;$M67)))</f>
        <v/>
      </c>
      <c r="X67" s="16">
        <f>IF($L67&gt;0,$R67/$L67,0)</f>
        <v/>
      </c>
    </row>
    <row r="68">
      <c r="A68">
        <f>INT((ROW()-2)/12)+1</f>
        <v/>
      </c>
      <c r="B68">
        <f>IF(INDEX('Plan setup'!$A$25:$A$34,$A68)="","",INDEX('Plan setup'!$A$25:$A$34,$A68))</f>
        <v/>
      </c>
      <c r="C68">
        <f>MOD(ROW()-2,12)+1</f>
        <v/>
      </c>
      <c r="D68" s="24">
        <f>EDATE('Plan setup'!$B$3,$C68-1)</f>
        <v/>
      </c>
      <c r="E68" s="24">
        <f>EDATE('Plan setup'!$B$3,$C68)-1</f>
        <v/>
      </c>
      <c r="F68">
        <f>$B68&amp;"|"&amp;$C68</f>
        <v/>
      </c>
      <c r="G68" s="17">
        <f>IF($B68="",0,IFERROR(INDEX('Plan setup'!$C$25:$C$34,$A68)*1,0))</f>
        <v/>
      </c>
      <c r="H68" s="16">
        <f>IF($B68="",0,IFERROR(INDEX('Plan setup'!$E$25:$E$34,$A68)*1,0))</f>
        <v/>
      </c>
      <c r="I68" s="17">
        <f>IF($B68="",0,SUMIFS(Deals!$N$2:$N$301,Deals!$F$2:$F$301,$B68,Deals!$B$2:$B$301,"&gt;="&amp;$D68,Deals!$B$2:$B$301,"&lt;="&amp;$E68)+SUMIFS(Deals!$O$2:$O$301,Deals!$H$2:$H$301,$B68,Deals!$B$2:$B$301,"&gt;="&amp;$D68,Deals!$B$2:$B$301,"&lt;="&amp;$E68))</f>
        <v/>
      </c>
      <c r="J68" s="17">
        <f>IF($B68="",0,SUMIFS(Deals!$N$2:$N$301,Deals!$F$2:$F$301,$B68,Deals!$Q$2:$Q$301,"&gt;="&amp;$D68,Deals!$Q$2:$Q$301,"&lt;="&amp;$E68)+SUMIFS(Deals!$O$2:$O$301,Deals!$H$2:$H$301,$B68,Deals!$Q$2:$Q$301,"&gt;="&amp;$D68,Deals!$Q$2:$Q$301,"&lt;="&amp;$E68))</f>
        <v/>
      </c>
      <c r="K68" s="17">
        <f>$I68-$J68</f>
        <v/>
      </c>
      <c r="L68" s="17">
        <f>IF($C68=1,$K68,$L67+$K68)</f>
        <v/>
      </c>
      <c r="M68" s="25">
        <f>IF($G68&gt;0,$L68/$G68,0)</f>
        <v/>
      </c>
      <c r="N68" s="17">
        <f>IF('Plan setup'!$B$10="",0,MAX(0,MIN(MAX($L68,0),IF('Plan setup'!$C$10="",9E+15,'Plan setup'!$C$10*$G68))-'Plan setup'!$B$10*$G68))</f>
        <v/>
      </c>
      <c r="O68" s="17">
        <f>IF('Plan setup'!$B$11="",0,MAX(0,MIN(MAX($L68,0),IF('Plan setup'!$C$11="",9E+15,'Plan setup'!$C$11*$G68))-'Plan setup'!$B$11*$G68))</f>
        <v/>
      </c>
      <c r="P68" s="17">
        <f>IF('Plan setup'!$B$12="",0,MAX(0,MIN(MAX($L68,0),IF('Plan setup'!$C$12="",9E+15,'Plan setup'!$C$12*$G68))-'Plan setup'!$B$12*$G68))</f>
        <v/>
      </c>
      <c r="Q68" s="17">
        <f>IF('Plan setup'!$B$13="",0,MAX(0,MIN(MAX($L68,0),IF('Plan setup'!$C$13="",9E+15,'Plan setup'!$C$13*$G68))-'Plan setup'!$B$13*$G68))</f>
        <v/>
      </c>
      <c r="R68" s="17">
        <f>$H68*($N68*N('Plan setup'!$D$10)+$O68*N('Plan setup'!$D$11)+$P68*N('Plan setup'!$D$12)+$Q68*N('Plan setup'!$D$13))</f>
        <v/>
      </c>
      <c r="S68" s="17">
        <f>IF($C68=1,0,$U67)</f>
        <v/>
      </c>
      <c r="T68" s="17">
        <f>MAX(0,$R68-$S68)</f>
        <v/>
      </c>
      <c r="U68" s="17">
        <f>$S68+$T68</f>
        <v/>
      </c>
      <c r="V68" s="17">
        <f>MAX(0,$U68-$R68)</f>
        <v/>
      </c>
      <c r="W68">
        <f>IF($B68="","",IF($L68&lt;=0,"Tier 1","Tier "&amp;COUNTIF('Plan setup'!$B$10:$B$13,"&lt;="&amp;$M68)))</f>
        <v/>
      </c>
      <c r="X68" s="16">
        <f>IF($L68&gt;0,$R68/$L68,0)</f>
        <v/>
      </c>
    </row>
    <row r="69">
      <c r="A69">
        <f>INT((ROW()-2)/12)+1</f>
        <v/>
      </c>
      <c r="B69">
        <f>IF(INDEX('Plan setup'!$A$25:$A$34,$A69)="","",INDEX('Plan setup'!$A$25:$A$34,$A69))</f>
        <v/>
      </c>
      <c r="C69">
        <f>MOD(ROW()-2,12)+1</f>
        <v/>
      </c>
      <c r="D69" s="24">
        <f>EDATE('Plan setup'!$B$3,$C69-1)</f>
        <v/>
      </c>
      <c r="E69" s="24">
        <f>EDATE('Plan setup'!$B$3,$C69)-1</f>
        <v/>
      </c>
      <c r="F69">
        <f>$B69&amp;"|"&amp;$C69</f>
        <v/>
      </c>
      <c r="G69" s="17">
        <f>IF($B69="",0,IFERROR(INDEX('Plan setup'!$C$25:$C$34,$A69)*1,0))</f>
        <v/>
      </c>
      <c r="H69" s="16">
        <f>IF($B69="",0,IFERROR(INDEX('Plan setup'!$E$25:$E$34,$A69)*1,0))</f>
        <v/>
      </c>
      <c r="I69" s="17">
        <f>IF($B69="",0,SUMIFS(Deals!$N$2:$N$301,Deals!$F$2:$F$301,$B69,Deals!$B$2:$B$301,"&gt;="&amp;$D69,Deals!$B$2:$B$301,"&lt;="&amp;$E69)+SUMIFS(Deals!$O$2:$O$301,Deals!$H$2:$H$301,$B69,Deals!$B$2:$B$301,"&gt;="&amp;$D69,Deals!$B$2:$B$301,"&lt;="&amp;$E69))</f>
        <v/>
      </c>
      <c r="J69" s="17">
        <f>IF($B69="",0,SUMIFS(Deals!$N$2:$N$301,Deals!$F$2:$F$301,$B69,Deals!$Q$2:$Q$301,"&gt;="&amp;$D69,Deals!$Q$2:$Q$301,"&lt;="&amp;$E69)+SUMIFS(Deals!$O$2:$O$301,Deals!$H$2:$H$301,$B69,Deals!$Q$2:$Q$301,"&gt;="&amp;$D69,Deals!$Q$2:$Q$301,"&lt;="&amp;$E69))</f>
        <v/>
      </c>
      <c r="K69" s="17">
        <f>$I69-$J69</f>
        <v/>
      </c>
      <c r="L69" s="17">
        <f>IF($C69=1,$K69,$L68+$K69)</f>
        <v/>
      </c>
      <c r="M69" s="25">
        <f>IF($G69&gt;0,$L69/$G69,0)</f>
        <v/>
      </c>
      <c r="N69" s="17">
        <f>IF('Plan setup'!$B$10="",0,MAX(0,MIN(MAX($L69,0),IF('Plan setup'!$C$10="",9E+15,'Plan setup'!$C$10*$G69))-'Plan setup'!$B$10*$G69))</f>
        <v/>
      </c>
      <c r="O69" s="17">
        <f>IF('Plan setup'!$B$11="",0,MAX(0,MIN(MAX($L69,0),IF('Plan setup'!$C$11="",9E+15,'Plan setup'!$C$11*$G69))-'Plan setup'!$B$11*$G69))</f>
        <v/>
      </c>
      <c r="P69" s="17">
        <f>IF('Plan setup'!$B$12="",0,MAX(0,MIN(MAX($L69,0),IF('Plan setup'!$C$12="",9E+15,'Plan setup'!$C$12*$G69))-'Plan setup'!$B$12*$G69))</f>
        <v/>
      </c>
      <c r="Q69" s="17">
        <f>IF('Plan setup'!$B$13="",0,MAX(0,MIN(MAX($L69,0),IF('Plan setup'!$C$13="",9E+15,'Plan setup'!$C$13*$G69))-'Plan setup'!$B$13*$G69))</f>
        <v/>
      </c>
      <c r="R69" s="17">
        <f>$H69*($N69*N('Plan setup'!$D$10)+$O69*N('Plan setup'!$D$11)+$P69*N('Plan setup'!$D$12)+$Q69*N('Plan setup'!$D$13))</f>
        <v/>
      </c>
      <c r="S69" s="17">
        <f>IF($C69=1,0,$U68)</f>
        <v/>
      </c>
      <c r="T69" s="17">
        <f>MAX(0,$R69-$S69)</f>
        <v/>
      </c>
      <c r="U69" s="17">
        <f>$S69+$T69</f>
        <v/>
      </c>
      <c r="V69" s="17">
        <f>MAX(0,$U69-$R69)</f>
        <v/>
      </c>
      <c r="W69">
        <f>IF($B69="","",IF($L69&lt;=0,"Tier 1","Tier "&amp;COUNTIF('Plan setup'!$B$10:$B$13,"&lt;="&amp;$M69)))</f>
        <v/>
      </c>
      <c r="X69" s="16">
        <f>IF($L69&gt;0,$R69/$L69,0)</f>
        <v/>
      </c>
    </row>
    <row r="70">
      <c r="A70">
        <f>INT((ROW()-2)/12)+1</f>
        <v/>
      </c>
      <c r="B70">
        <f>IF(INDEX('Plan setup'!$A$25:$A$34,$A70)="","",INDEX('Plan setup'!$A$25:$A$34,$A70))</f>
        <v/>
      </c>
      <c r="C70">
        <f>MOD(ROW()-2,12)+1</f>
        <v/>
      </c>
      <c r="D70" s="24">
        <f>EDATE('Plan setup'!$B$3,$C70-1)</f>
        <v/>
      </c>
      <c r="E70" s="24">
        <f>EDATE('Plan setup'!$B$3,$C70)-1</f>
        <v/>
      </c>
      <c r="F70">
        <f>$B70&amp;"|"&amp;$C70</f>
        <v/>
      </c>
      <c r="G70" s="17">
        <f>IF($B70="",0,IFERROR(INDEX('Plan setup'!$C$25:$C$34,$A70)*1,0))</f>
        <v/>
      </c>
      <c r="H70" s="16">
        <f>IF($B70="",0,IFERROR(INDEX('Plan setup'!$E$25:$E$34,$A70)*1,0))</f>
        <v/>
      </c>
      <c r="I70" s="17">
        <f>IF($B70="",0,SUMIFS(Deals!$N$2:$N$301,Deals!$F$2:$F$301,$B70,Deals!$B$2:$B$301,"&gt;="&amp;$D70,Deals!$B$2:$B$301,"&lt;="&amp;$E70)+SUMIFS(Deals!$O$2:$O$301,Deals!$H$2:$H$301,$B70,Deals!$B$2:$B$301,"&gt;="&amp;$D70,Deals!$B$2:$B$301,"&lt;="&amp;$E70))</f>
        <v/>
      </c>
      <c r="J70" s="17">
        <f>IF($B70="",0,SUMIFS(Deals!$N$2:$N$301,Deals!$F$2:$F$301,$B70,Deals!$Q$2:$Q$301,"&gt;="&amp;$D70,Deals!$Q$2:$Q$301,"&lt;="&amp;$E70)+SUMIFS(Deals!$O$2:$O$301,Deals!$H$2:$H$301,$B70,Deals!$Q$2:$Q$301,"&gt;="&amp;$D70,Deals!$Q$2:$Q$301,"&lt;="&amp;$E70))</f>
        <v/>
      </c>
      <c r="K70" s="17">
        <f>$I70-$J70</f>
        <v/>
      </c>
      <c r="L70" s="17">
        <f>IF($C70=1,$K70,$L69+$K70)</f>
        <v/>
      </c>
      <c r="M70" s="25">
        <f>IF($G70&gt;0,$L70/$G70,0)</f>
        <v/>
      </c>
      <c r="N70" s="17">
        <f>IF('Plan setup'!$B$10="",0,MAX(0,MIN(MAX($L70,0),IF('Plan setup'!$C$10="",9E+15,'Plan setup'!$C$10*$G70))-'Plan setup'!$B$10*$G70))</f>
        <v/>
      </c>
      <c r="O70" s="17">
        <f>IF('Plan setup'!$B$11="",0,MAX(0,MIN(MAX($L70,0),IF('Plan setup'!$C$11="",9E+15,'Plan setup'!$C$11*$G70))-'Plan setup'!$B$11*$G70))</f>
        <v/>
      </c>
      <c r="P70" s="17">
        <f>IF('Plan setup'!$B$12="",0,MAX(0,MIN(MAX($L70,0),IF('Plan setup'!$C$12="",9E+15,'Plan setup'!$C$12*$G70))-'Plan setup'!$B$12*$G70))</f>
        <v/>
      </c>
      <c r="Q70" s="17">
        <f>IF('Plan setup'!$B$13="",0,MAX(0,MIN(MAX($L70,0),IF('Plan setup'!$C$13="",9E+15,'Plan setup'!$C$13*$G70))-'Plan setup'!$B$13*$G70))</f>
        <v/>
      </c>
      <c r="R70" s="17">
        <f>$H70*($N70*N('Plan setup'!$D$10)+$O70*N('Plan setup'!$D$11)+$P70*N('Plan setup'!$D$12)+$Q70*N('Plan setup'!$D$13))</f>
        <v/>
      </c>
      <c r="S70" s="17">
        <f>IF($C70=1,0,$U69)</f>
        <v/>
      </c>
      <c r="T70" s="17">
        <f>MAX(0,$R70-$S70)</f>
        <v/>
      </c>
      <c r="U70" s="17">
        <f>$S70+$T70</f>
        <v/>
      </c>
      <c r="V70" s="17">
        <f>MAX(0,$U70-$R70)</f>
        <v/>
      </c>
      <c r="W70">
        <f>IF($B70="","",IF($L70&lt;=0,"Tier 1","Tier "&amp;COUNTIF('Plan setup'!$B$10:$B$13,"&lt;="&amp;$M70)))</f>
        <v/>
      </c>
      <c r="X70" s="16">
        <f>IF($L70&gt;0,$R70/$L70,0)</f>
        <v/>
      </c>
    </row>
    <row r="71">
      <c r="A71">
        <f>INT((ROW()-2)/12)+1</f>
        <v/>
      </c>
      <c r="B71">
        <f>IF(INDEX('Plan setup'!$A$25:$A$34,$A71)="","",INDEX('Plan setup'!$A$25:$A$34,$A71))</f>
        <v/>
      </c>
      <c r="C71">
        <f>MOD(ROW()-2,12)+1</f>
        <v/>
      </c>
      <c r="D71" s="24">
        <f>EDATE('Plan setup'!$B$3,$C71-1)</f>
        <v/>
      </c>
      <c r="E71" s="24">
        <f>EDATE('Plan setup'!$B$3,$C71)-1</f>
        <v/>
      </c>
      <c r="F71">
        <f>$B71&amp;"|"&amp;$C71</f>
        <v/>
      </c>
      <c r="G71" s="17">
        <f>IF($B71="",0,IFERROR(INDEX('Plan setup'!$C$25:$C$34,$A71)*1,0))</f>
        <v/>
      </c>
      <c r="H71" s="16">
        <f>IF($B71="",0,IFERROR(INDEX('Plan setup'!$E$25:$E$34,$A71)*1,0))</f>
        <v/>
      </c>
      <c r="I71" s="17">
        <f>IF($B71="",0,SUMIFS(Deals!$N$2:$N$301,Deals!$F$2:$F$301,$B71,Deals!$B$2:$B$301,"&gt;="&amp;$D71,Deals!$B$2:$B$301,"&lt;="&amp;$E71)+SUMIFS(Deals!$O$2:$O$301,Deals!$H$2:$H$301,$B71,Deals!$B$2:$B$301,"&gt;="&amp;$D71,Deals!$B$2:$B$301,"&lt;="&amp;$E71))</f>
        <v/>
      </c>
      <c r="J71" s="17">
        <f>IF($B71="",0,SUMIFS(Deals!$N$2:$N$301,Deals!$F$2:$F$301,$B71,Deals!$Q$2:$Q$301,"&gt;="&amp;$D71,Deals!$Q$2:$Q$301,"&lt;="&amp;$E71)+SUMIFS(Deals!$O$2:$O$301,Deals!$H$2:$H$301,$B71,Deals!$Q$2:$Q$301,"&gt;="&amp;$D71,Deals!$Q$2:$Q$301,"&lt;="&amp;$E71))</f>
        <v/>
      </c>
      <c r="K71" s="17">
        <f>$I71-$J71</f>
        <v/>
      </c>
      <c r="L71" s="17">
        <f>IF($C71=1,$K71,$L70+$K71)</f>
        <v/>
      </c>
      <c r="M71" s="25">
        <f>IF($G71&gt;0,$L71/$G71,0)</f>
        <v/>
      </c>
      <c r="N71" s="17">
        <f>IF('Plan setup'!$B$10="",0,MAX(0,MIN(MAX($L71,0),IF('Plan setup'!$C$10="",9E+15,'Plan setup'!$C$10*$G71))-'Plan setup'!$B$10*$G71))</f>
        <v/>
      </c>
      <c r="O71" s="17">
        <f>IF('Plan setup'!$B$11="",0,MAX(0,MIN(MAX($L71,0),IF('Plan setup'!$C$11="",9E+15,'Plan setup'!$C$11*$G71))-'Plan setup'!$B$11*$G71))</f>
        <v/>
      </c>
      <c r="P71" s="17">
        <f>IF('Plan setup'!$B$12="",0,MAX(0,MIN(MAX($L71,0),IF('Plan setup'!$C$12="",9E+15,'Plan setup'!$C$12*$G71))-'Plan setup'!$B$12*$G71))</f>
        <v/>
      </c>
      <c r="Q71" s="17">
        <f>IF('Plan setup'!$B$13="",0,MAX(0,MIN(MAX($L71,0),IF('Plan setup'!$C$13="",9E+15,'Plan setup'!$C$13*$G71))-'Plan setup'!$B$13*$G71))</f>
        <v/>
      </c>
      <c r="R71" s="17">
        <f>$H71*($N71*N('Plan setup'!$D$10)+$O71*N('Plan setup'!$D$11)+$P71*N('Plan setup'!$D$12)+$Q71*N('Plan setup'!$D$13))</f>
        <v/>
      </c>
      <c r="S71" s="17">
        <f>IF($C71=1,0,$U70)</f>
        <v/>
      </c>
      <c r="T71" s="17">
        <f>MAX(0,$R71-$S71)</f>
        <v/>
      </c>
      <c r="U71" s="17">
        <f>$S71+$T71</f>
        <v/>
      </c>
      <c r="V71" s="17">
        <f>MAX(0,$U71-$R71)</f>
        <v/>
      </c>
      <c r="W71">
        <f>IF($B71="","",IF($L71&lt;=0,"Tier 1","Tier "&amp;COUNTIF('Plan setup'!$B$10:$B$13,"&lt;="&amp;$M71)))</f>
        <v/>
      </c>
      <c r="X71" s="16">
        <f>IF($L71&gt;0,$R71/$L71,0)</f>
        <v/>
      </c>
    </row>
    <row r="72">
      <c r="A72">
        <f>INT((ROW()-2)/12)+1</f>
        <v/>
      </c>
      <c r="B72">
        <f>IF(INDEX('Plan setup'!$A$25:$A$34,$A72)="","",INDEX('Plan setup'!$A$25:$A$34,$A72))</f>
        <v/>
      </c>
      <c r="C72">
        <f>MOD(ROW()-2,12)+1</f>
        <v/>
      </c>
      <c r="D72" s="24">
        <f>EDATE('Plan setup'!$B$3,$C72-1)</f>
        <v/>
      </c>
      <c r="E72" s="24">
        <f>EDATE('Plan setup'!$B$3,$C72)-1</f>
        <v/>
      </c>
      <c r="F72">
        <f>$B72&amp;"|"&amp;$C72</f>
        <v/>
      </c>
      <c r="G72" s="17">
        <f>IF($B72="",0,IFERROR(INDEX('Plan setup'!$C$25:$C$34,$A72)*1,0))</f>
        <v/>
      </c>
      <c r="H72" s="16">
        <f>IF($B72="",0,IFERROR(INDEX('Plan setup'!$E$25:$E$34,$A72)*1,0))</f>
        <v/>
      </c>
      <c r="I72" s="17">
        <f>IF($B72="",0,SUMIFS(Deals!$N$2:$N$301,Deals!$F$2:$F$301,$B72,Deals!$B$2:$B$301,"&gt;="&amp;$D72,Deals!$B$2:$B$301,"&lt;="&amp;$E72)+SUMIFS(Deals!$O$2:$O$301,Deals!$H$2:$H$301,$B72,Deals!$B$2:$B$301,"&gt;="&amp;$D72,Deals!$B$2:$B$301,"&lt;="&amp;$E72))</f>
        <v/>
      </c>
      <c r="J72" s="17">
        <f>IF($B72="",0,SUMIFS(Deals!$N$2:$N$301,Deals!$F$2:$F$301,$B72,Deals!$Q$2:$Q$301,"&gt;="&amp;$D72,Deals!$Q$2:$Q$301,"&lt;="&amp;$E72)+SUMIFS(Deals!$O$2:$O$301,Deals!$H$2:$H$301,$B72,Deals!$Q$2:$Q$301,"&gt;="&amp;$D72,Deals!$Q$2:$Q$301,"&lt;="&amp;$E72))</f>
        <v/>
      </c>
      <c r="K72" s="17">
        <f>$I72-$J72</f>
        <v/>
      </c>
      <c r="L72" s="17">
        <f>IF($C72=1,$K72,$L71+$K72)</f>
        <v/>
      </c>
      <c r="M72" s="25">
        <f>IF($G72&gt;0,$L72/$G72,0)</f>
        <v/>
      </c>
      <c r="N72" s="17">
        <f>IF('Plan setup'!$B$10="",0,MAX(0,MIN(MAX($L72,0),IF('Plan setup'!$C$10="",9E+15,'Plan setup'!$C$10*$G72))-'Plan setup'!$B$10*$G72))</f>
        <v/>
      </c>
      <c r="O72" s="17">
        <f>IF('Plan setup'!$B$11="",0,MAX(0,MIN(MAX($L72,0),IF('Plan setup'!$C$11="",9E+15,'Plan setup'!$C$11*$G72))-'Plan setup'!$B$11*$G72))</f>
        <v/>
      </c>
      <c r="P72" s="17">
        <f>IF('Plan setup'!$B$12="",0,MAX(0,MIN(MAX($L72,0),IF('Plan setup'!$C$12="",9E+15,'Plan setup'!$C$12*$G72))-'Plan setup'!$B$12*$G72))</f>
        <v/>
      </c>
      <c r="Q72" s="17">
        <f>IF('Plan setup'!$B$13="",0,MAX(0,MIN(MAX($L72,0),IF('Plan setup'!$C$13="",9E+15,'Plan setup'!$C$13*$G72))-'Plan setup'!$B$13*$G72))</f>
        <v/>
      </c>
      <c r="R72" s="17">
        <f>$H72*($N72*N('Plan setup'!$D$10)+$O72*N('Plan setup'!$D$11)+$P72*N('Plan setup'!$D$12)+$Q72*N('Plan setup'!$D$13))</f>
        <v/>
      </c>
      <c r="S72" s="17">
        <f>IF($C72=1,0,$U71)</f>
        <v/>
      </c>
      <c r="T72" s="17">
        <f>MAX(0,$R72-$S72)</f>
        <v/>
      </c>
      <c r="U72" s="17">
        <f>$S72+$T72</f>
        <v/>
      </c>
      <c r="V72" s="17">
        <f>MAX(0,$U72-$R72)</f>
        <v/>
      </c>
      <c r="W72">
        <f>IF($B72="","",IF($L72&lt;=0,"Tier 1","Tier "&amp;COUNTIF('Plan setup'!$B$10:$B$13,"&lt;="&amp;$M72)))</f>
        <v/>
      </c>
      <c r="X72" s="16">
        <f>IF($L72&gt;0,$R72/$L72,0)</f>
        <v/>
      </c>
    </row>
    <row r="73">
      <c r="A73">
        <f>INT((ROW()-2)/12)+1</f>
        <v/>
      </c>
      <c r="B73">
        <f>IF(INDEX('Plan setup'!$A$25:$A$34,$A73)="","",INDEX('Plan setup'!$A$25:$A$34,$A73))</f>
        <v/>
      </c>
      <c r="C73">
        <f>MOD(ROW()-2,12)+1</f>
        <v/>
      </c>
      <c r="D73" s="24">
        <f>EDATE('Plan setup'!$B$3,$C73-1)</f>
        <v/>
      </c>
      <c r="E73" s="24">
        <f>EDATE('Plan setup'!$B$3,$C73)-1</f>
        <v/>
      </c>
      <c r="F73">
        <f>$B73&amp;"|"&amp;$C73</f>
        <v/>
      </c>
      <c r="G73" s="17">
        <f>IF($B73="",0,IFERROR(INDEX('Plan setup'!$C$25:$C$34,$A73)*1,0))</f>
        <v/>
      </c>
      <c r="H73" s="16">
        <f>IF($B73="",0,IFERROR(INDEX('Plan setup'!$E$25:$E$34,$A73)*1,0))</f>
        <v/>
      </c>
      <c r="I73" s="17">
        <f>IF($B73="",0,SUMIFS(Deals!$N$2:$N$301,Deals!$F$2:$F$301,$B73,Deals!$B$2:$B$301,"&gt;="&amp;$D73,Deals!$B$2:$B$301,"&lt;="&amp;$E73)+SUMIFS(Deals!$O$2:$O$301,Deals!$H$2:$H$301,$B73,Deals!$B$2:$B$301,"&gt;="&amp;$D73,Deals!$B$2:$B$301,"&lt;="&amp;$E73))</f>
        <v/>
      </c>
      <c r="J73" s="17">
        <f>IF($B73="",0,SUMIFS(Deals!$N$2:$N$301,Deals!$F$2:$F$301,$B73,Deals!$Q$2:$Q$301,"&gt;="&amp;$D73,Deals!$Q$2:$Q$301,"&lt;="&amp;$E73)+SUMIFS(Deals!$O$2:$O$301,Deals!$H$2:$H$301,$B73,Deals!$Q$2:$Q$301,"&gt;="&amp;$D73,Deals!$Q$2:$Q$301,"&lt;="&amp;$E73))</f>
        <v/>
      </c>
      <c r="K73" s="17">
        <f>$I73-$J73</f>
        <v/>
      </c>
      <c r="L73" s="17">
        <f>IF($C73=1,$K73,$L72+$K73)</f>
        <v/>
      </c>
      <c r="M73" s="25">
        <f>IF($G73&gt;0,$L73/$G73,0)</f>
        <v/>
      </c>
      <c r="N73" s="17">
        <f>IF('Plan setup'!$B$10="",0,MAX(0,MIN(MAX($L73,0),IF('Plan setup'!$C$10="",9E+15,'Plan setup'!$C$10*$G73))-'Plan setup'!$B$10*$G73))</f>
        <v/>
      </c>
      <c r="O73" s="17">
        <f>IF('Plan setup'!$B$11="",0,MAX(0,MIN(MAX($L73,0),IF('Plan setup'!$C$11="",9E+15,'Plan setup'!$C$11*$G73))-'Plan setup'!$B$11*$G73))</f>
        <v/>
      </c>
      <c r="P73" s="17">
        <f>IF('Plan setup'!$B$12="",0,MAX(0,MIN(MAX($L73,0),IF('Plan setup'!$C$12="",9E+15,'Plan setup'!$C$12*$G73))-'Plan setup'!$B$12*$G73))</f>
        <v/>
      </c>
      <c r="Q73" s="17">
        <f>IF('Plan setup'!$B$13="",0,MAX(0,MIN(MAX($L73,0),IF('Plan setup'!$C$13="",9E+15,'Plan setup'!$C$13*$G73))-'Plan setup'!$B$13*$G73))</f>
        <v/>
      </c>
      <c r="R73" s="17">
        <f>$H73*($N73*N('Plan setup'!$D$10)+$O73*N('Plan setup'!$D$11)+$P73*N('Plan setup'!$D$12)+$Q73*N('Plan setup'!$D$13))</f>
        <v/>
      </c>
      <c r="S73" s="17">
        <f>IF($C73=1,0,$U72)</f>
        <v/>
      </c>
      <c r="T73" s="17">
        <f>MAX(0,$R73-$S73)</f>
        <v/>
      </c>
      <c r="U73" s="17">
        <f>$S73+$T73</f>
        <v/>
      </c>
      <c r="V73" s="17">
        <f>MAX(0,$U73-$R73)</f>
        <v/>
      </c>
      <c r="W73">
        <f>IF($B73="","",IF($L73&lt;=0,"Tier 1","Tier "&amp;COUNTIF('Plan setup'!$B$10:$B$13,"&lt;="&amp;$M73)))</f>
        <v/>
      </c>
      <c r="X73" s="16">
        <f>IF($L73&gt;0,$R73/$L73,0)</f>
        <v/>
      </c>
    </row>
    <row r="74">
      <c r="A74">
        <f>INT((ROW()-2)/12)+1</f>
        <v/>
      </c>
      <c r="B74">
        <f>IF(INDEX('Plan setup'!$A$25:$A$34,$A74)="","",INDEX('Plan setup'!$A$25:$A$34,$A74))</f>
        <v/>
      </c>
      <c r="C74">
        <f>MOD(ROW()-2,12)+1</f>
        <v/>
      </c>
      <c r="D74" s="24">
        <f>EDATE('Plan setup'!$B$3,$C74-1)</f>
        <v/>
      </c>
      <c r="E74" s="24">
        <f>EDATE('Plan setup'!$B$3,$C74)-1</f>
        <v/>
      </c>
      <c r="F74">
        <f>$B74&amp;"|"&amp;$C74</f>
        <v/>
      </c>
      <c r="G74" s="17">
        <f>IF($B74="",0,IFERROR(INDEX('Plan setup'!$C$25:$C$34,$A74)*1,0))</f>
        <v/>
      </c>
      <c r="H74" s="16">
        <f>IF($B74="",0,IFERROR(INDEX('Plan setup'!$E$25:$E$34,$A74)*1,0))</f>
        <v/>
      </c>
      <c r="I74" s="17">
        <f>IF($B74="",0,SUMIFS(Deals!$N$2:$N$301,Deals!$F$2:$F$301,$B74,Deals!$B$2:$B$301,"&gt;="&amp;$D74,Deals!$B$2:$B$301,"&lt;="&amp;$E74)+SUMIFS(Deals!$O$2:$O$301,Deals!$H$2:$H$301,$B74,Deals!$B$2:$B$301,"&gt;="&amp;$D74,Deals!$B$2:$B$301,"&lt;="&amp;$E74))</f>
        <v/>
      </c>
      <c r="J74" s="17">
        <f>IF($B74="",0,SUMIFS(Deals!$N$2:$N$301,Deals!$F$2:$F$301,$B74,Deals!$Q$2:$Q$301,"&gt;="&amp;$D74,Deals!$Q$2:$Q$301,"&lt;="&amp;$E74)+SUMIFS(Deals!$O$2:$O$301,Deals!$H$2:$H$301,$B74,Deals!$Q$2:$Q$301,"&gt;="&amp;$D74,Deals!$Q$2:$Q$301,"&lt;="&amp;$E74))</f>
        <v/>
      </c>
      <c r="K74" s="17">
        <f>$I74-$J74</f>
        <v/>
      </c>
      <c r="L74" s="17">
        <f>IF($C74=1,$K74,$L73+$K74)</f>
        <v/>
      </c>
      <c r="M74" s="25">
        <f>IF($G74&gt;0,$L74/$G74,0)</f>
        <v/>
      </c>
      <c r="N74" s="17">
        <f>IF('Plan setup'!$B$10="",0,MAX(0,MIN(MAX($L74,0),IF('Plan setup'!$C$10="",9E+15,'Plan setup'!$C$10*$G74))-'Plan setup'!$B$10*$G74))</f>
        <v/>
      </c>
      <c r="O74" s="17">
        <f>IF('Plan setup'!$B$11="",0,MAX(0,MIN(MAX($L74,0),IF('Plan setup'!$C$11="",9E+15,'Plan setup'!$C$11*$G74))-'Plan setup'!$B$11*$G74))</f>
        <v/>
      </c>
      <c r="P74" s="17">
        <f>IF('Plan setup'!$B$12="",0,MAX(0,MIN(MAX($L74,0),IF('Plan setup'!$C$12="",9E+15,'Plan setup'!$C$12*$G74))-'Plan setup'!$B$12*$G74))</f>
        <v/>
      </c>
      <c r="Q74" s="17">
        <f>IF('Plan setup'!$B$13="",0,MAX(0,MIN(MAX($L74,0),IF('Plan setup'!$C$13="",9E+15,'Plan setup'!$C$13*$G74))-'Plan setup'!$B$13*$G74))</f>
        <v/>
      </c>
      <c r="R74" s="17">
        <f>$H74*($N74*N('Plan setup'!$D$10)+$O74*N('Plan setup'!$D$11)+$P74*N('Plan setup'!$D$12)+$Q74*N('Plan setup'!$D$13))</f>
        <v/>
      </c>
      <c r="S74" s="17">
        <f>IF($C74=1,0,$U73)</f>
        <v/>
      </c>
      <c r="T74" s="17">
        <f>MAX(0,$R74-$S74)</f>
        <v/>
      </c>
      <c r="U74" s="17">
        <f>$S74+$T74</f>
        <v/>
      </c>
      <c r="V74" s="17">
        <f>MAX(0,$U74-$R74)</f>
        <v/>
      </c>
      <c r="W74">
        <f>IF($B74="","",IF($L74&lt;=0,"Tier 1","Tier "&amp;COUNTIF('Plan setup'!$B$10:$B$13,"&lt;="&amp;$M74)))</f>
        <v/>
      </c>
      <c r="X74" s="16">
        <f>IF($L74&gt;0,$R74/$L74,0)</f>
        <v/>
      </c>
    </row>
    <row r="75">
      <c r="A75">
        <f>INT((ROW()-2)/12)+1</f>
        <v/>
      </c>
      <c r="B75">
        <f>IF(INDEX('Plan setup'!$A$25:$A$34,$A75)="","",INDEX('Plan setup'!$A$25:$A$34,$A75))</f>
        <v/>
      </c>
      <c r="C75">
        <f>MOD(ROW()-2,12)+1</f>
        <v/>
      </c>
      <c r="D75" s="24">
        <f>EDATE('Plan setup'!$B$3,$C75-1)</f>
        <v/>
      </c>
      <c r="E75" s="24">
        <f>EDATE('Plan setup'!$B$3,$C75)-1</f>
        <v/>
      </c>
      <c r="F75">
        <f>$B75&amp;"|"&amp;$C75</f>
        <v/>
      </c>
      <c r="G75" s="17">
        <f>IF($B75="",0,IFERROR(INDEX('Plan setup'!$C$25:$C$34,$A75)*1,0))</f>
        <v/>
      </c>
      <c r="H75" s="16">
        <f>IF($B75="",0,IFERROR(INDEX('Plan setup'!$E$25:$E$34,$A75)*1,0))</f>
        <v/>
      </c>
      <c r="I75" s="17">
        <f>IF($B75="",0,SUMIFS(Deals!$N$2:$N$301,Deals!$F$2:$F$301,$B75,Deals!$B$2:$B$301,"&gt;="&amp;$D75,Deals!$B$2:$B$301,"&lt;="&amp;$E75)+SUMIFS(Deals!$O$2:$O$301,Deals!$H$2:$H$301,$B75,Deals!$B$2:$B$301,"&gt;="&amp;$D75,Deals!$B$2:$B$301,"&lt;="&amp;$E75))</f>
        <v/>
      </c>
      <c r="J75" s="17">
        <f>IF($B75="",0,SUMIFS(Deals!$N$2:$N$301,Deals!$F$2:$F$301,$B75,Deals!$Q$2:$Q$301,"&gt;="&amp;$D75,Deals!$Q$2:$Q$301,"&lt;="&amp;$E75)+SUMIFS(Deals!$O$2:$O$301,Deals!$H$2:$H$301,$B75,Deals!$Q$2:$Q$301,"&gt;="&amp;$D75,Deals!$Q$2:$Q$301,"&lt;="&amp;$E75))</f>
        <v/>
      </c>
      <c r="K75" s="17">
        <f>$I75-$J75</f>
        <v/>
      </c>
      <c r="L75" s="17">
        <f>IF($C75=1,$K75,$L74+$K75)</f>
        <v/>
      </c>
      <c r="M75" s="25">
        <f>IF($G75&gt;0,$L75/$G75,0)</f>
        <v/>
      </c>
      <c r="N75" s="17">
        <f>IF('Plan setup'!$B$10="",0,MAX(0,MIN(MAX($L75,0),IF('Plan setup'!$C$10="",9E+15,'Plan setup'!$C$10*$G75))-'Plan setup'!$B$10*$G75))</f>
        <v/>
      </c>
      <c r="O75" s="17">
        <f>IF('Plan setup'!$B$11="",0,MAX(0,MIN(MAX($L75,0),IF('Plan setup'!$C$11="",9E+15,'Plan setup'!$C$11*$G75))-'Plan setup'!$B$11*$G75))</f>
        <v/>
      </c>
      <c r="P75" s="17">
        <f>IF('Plan setup'!$B$12="",0,MAX(0,MIN(MAX($L75,0),IF('Plan setup'!$C$12="",9E+15,'Plan setup'!$C$12*$G75))-'Plan setup'!$B$12*$G75))</f>
        <v/>
      </c>
      <c r="Q75" s="17">
        <f>IF('Plan setup'!$B$13="",0,MAX(0,MIN(MAX($L75,0),IF('Plan setup'!$C$13="",9E+15,'Plan setup'!$C$13*$G75))-'Plan setup'!$B$13*$G75))</f>
        <v/>
      </c>
      <c r="R75" s="17">
        <f>$H75*($N75*N('Plan setup'!$D$10)+$O75*N('Plan setup'!$D$11)+$P75*N('Plan setup'!$D$12)+$Q75*N('Plan setup'!$D$13))</f>
        <v/>
      </c>
      <c r="S75" s="17">
        <f>IF($C75=1,0,$U74)</f>
        <v/>
      </c>
      <c r="T75" s="17">
        <f>MAX(0,$R75-$S75)</f>
        <v/>
      </c>
      <c r="U75" s="17">
        <f>$S75+$T75</f>
        <v/>
      </c>
      <c r="V75" s="17">
        <f>MAX(0,$U75-$R75)</f>
        <v/>
      </c>
      <c r="W75">
        <f>IF($B75="","",IF($L75&lt;=0,"Tier 1","Tier "&amp;COUNTIF('Plan setup'!$B$10:$B$13,"&lt;="&amp;$M75)))</f>
        <v/>
      </c>
      <c r="X75" s="16">
        <f>IF($L75&gt;0,$R75/$L75,0)</f>
        <v/>
      </c>
    </row>
    <row r="76">
      <c r="A76">
        <f>INT((ROW()-2)/12)+1</f>
        <v/>
      </c>
      <c r="B76">
        <f>IF(INDEX('Plan setup'!$A$25:$A$34,$A76)="","",INDEX('Plan setup'!$A$25:$A$34,$A76))</f>
        <v/>
      </c>
      <c r="C76">
        <f>MOD(ROW()-2,12)+1</f>
        <v/>
      </c>
      <c r="D76" s="24">
        <f>EDATE('Plan setup'!$B$3,$C76-1)</f>
        <v/>
      </c>
      <c r="E76" s="24">
        <f>EDATE('Plan setup'!$B$3,$C76)-1</f>
        <v/>
      </c>
      <c r="F76">
        <f>$B76&amp;"|"&amp;$C76</f>
        <v/>
      </c>
      <c r="G76" s="17">
        <f>IF($B76="",0,IFERROR(INDEX('Plan setup'!$C$25:$C$34,$A76)*1,0))</f>
        <v/>
      </c>
      <c r="H76" s="16">
        <f>IF($B76="",0,IFERROR(INDEX('Plan setup'!$E$25:$E$34,$A76)*1,0))</f>
        <v/>
      </c>
      <c r="I76" s="17">
        <f>IF($B76="",0,SUMIFS(Deals!$N$2:$N$301,Deals!$F$2:$F$301,$B76,Deals!$B$2:$B$301,"&gt;="&amp;$D76,Deals!$B$2:$B$301,"&lt;="&amp;$E76)+SUMIFS(Deals!$O$2:$O$301,Deals!$H$2:$H$301,$B76,Deals!$B$2:$B$301,"&gt;="&amp;$D76,Deals!$B$2:$B$301,"&lt;="&amp;$E76))</f>
        <v/>
      </c>
      <c r="J76" s="17">
        <f>IF($B76="",0,SUMIFS(Deals!$N$2:$N$301,Deals!$F$2:$F$301,$B76,Deals!$Q$2:$Q$301,"&gt;="&amp;$D76,Deals!$Q$2:$Q$301,"&lt;="&amp;$E76)+SUMIFS(Deals!$O$2:$O$301,Deals!$H$2:$H$301,$B76,Deals!$Q$2:$Q$301,"&gt;="&amp;$D76,Deals!$Q$2:$Q$301,"&lt;="&amp;$E76))</f>
        <v/>
      </c>
      <c r="K76" s="17">
        <f>$I76-$J76</f>
        <v/>
      </c>
      <c r="L76" s="17">
        <f>IF($C76=1,$K76,$L75+$K76)</f>
        <v/>
      </c>
      <c r="M76" s="25">
        <f>IF($G76&gt;0,$L76/$G76,0)</f>
        <v/>
      </c>
      <c r="N76" s="17">
        <f>IF('Plan setup'!$B$10="",0,MAX(0,MIN(MAX($L76,0),IF('Plan setup'!$C$10="",9E+15,'Plan setup'!$C$10*$G76))-'Plan setup'!$B$10*$G76))</f>
        <v/>
      </c>
      <c r="O76" s="17">
        <f>IF('Plan setup'!$B$11="",0,MAX(0,MIN(MAX($L76,0),IF('Plan setup'!$C$11="",9E+15,'Plan setup'!$C$11*$G76))-'Plan setup'!$B$11*$G76))</f>
        <v/>
      </c>
      <c r="P76" s="17">
        <f>IF('Plan setup'!$B$12="",0,MAX(0,MIN(MAX($L76,0),IF('Plan setup'!$C$12="",9E+15,'Plan setup'!$C$12*$G76))-'Plan setup'!$B$12*$G76))</f>
        <v/>
      </c>
      <c r="Q76" s="17">
        <f>IF('Plan setup'!$B$13="",0,MAX(0,MIN(MAX($L76,0),IF('Plan setup'!$C$13="",9E+15,'Plan setup'!$C$13*$G76))-'Plan setup'!$B$13*$G76))</f>
        <v/>
      </c>
      <c r="R76" s="17">
        <f>$H76*($N76*N('Plan setup'!$D$10)+$O76*N('Plan setup'!$D$11)+$P76*N('Plan setup'!$D$12)+$Q76*N('Plan setup'!$D$13))</f>
        <v/>
      </c>
      <c r="S76" s="17">
        <f>IF($C76=1,0,$U75)</f>
        <v/>
      </c>
      <c r="T76" s="17">
        <f>MAX(0,$R76-$S76)</f>
        <v/>
      </c>
      <c r="U76" s="17">
        <f>$S76+$T76</f>
        <v/>
      </c>
      <c r="V76" s="17">
        <f>MAX(0,$U76-$R76)</f>
        <v/>
      </c>
      <c r="W76">
        <f>IF($B76="","",IF($L76&lt;=0,"Tier 1","Tier "&amp;COUNTIF('Plan setup'!$B$10:$B$13,"&lt;="&amp;$M76)))</f>
        <v/>
      </c>
      <c r="X76" s="16">
        <f>IF($L76&gt;0,$R76/$L76,0)</f>
        <v/>
      </c>
    </row>
    <row r="77">
      <c r="A77">
        <f>INT((ROW()-2)/12)+1</f>
        <v/>
      </c>
      <c r="B77">
        <f>IF(INDEX('Plan setup'!$A$25:$A$34,$A77)="","",INDEX('Plan setup'!$A$25:$A$34,$A77))</f>
        <v/>
      </c>
      <c r="C77">
        <f>MOD(ROW()-2,12)+1</f>
        <v/>
      </c>
      <c r="D77" s="24">
        <f>EDATE('Plan setup'!$B$3,$C77-1)</f>
        <v/>
      </c>
      <c r="E77" s="24">
        <f>EDATE('Plan setup'!$B$3,$C77)-1</f>
        <v/>
      </c>
      <c r="F77">
        <f>$B77&amp;"|"&amp;$C77</f>
        <v/>
      </c>
      <c r="G77" s="17">
        <f>IF($B77="",0,IFERROR(INDEX('Plan setup'!$C$25:$C$34,$A77)*1,0))</f>
        <v/>
      </c>
      <c r="H77" s="16">
        <f>IF($B77="",0,IFERROR(INDEX('Plan setup'!$E$25:$E$34,$A77)*1,0))</f>
        <v/>
      </c>
      <c r="I77" s="17">
        <f>IF($B77="",0,SUMIFS(Deals!$N$2:$N$301,Deals!$F$2:$F$301,$B77,Deals!$B$2:$B$301,"&gt;="&amp;$D77,Deals!$B$2:$B$301,"&lt;="&amp;$E77)+SUMIFS(Deals!$O$2:$O$301,Deals!$H$2:$H$301,$B77,Deals!$B$2:$B$301,"&gt;="&amp;$D77,Deals!$B$2:$B$301,"&lt;="&amp;$E77))</f>
        <v/>
      </c>
      <c r="J77" s="17">
        <f>IF($B77="",0,SUMIFS(Deals!$N$2:$N$301,Deals!$F$2:$F$301,$B77,Deals!$Q$2:$Q$301,"&gt;="&amp;$D77,Deals!$Q$2:$Q$301,"&lt;="&amp;$E77)+SUMIFS(Deals!$O$2:$O$301,Deals!$H$2:$H$301,$B77,Deals!$Q$2:$Q$301,"&gt;="&amp;$D77,Deals!$Q$2:$Q$301,"&lt;="&amp;$E77))</f>
        <v/>
      </c>
      <c r="K77" s="17">
        <f>$I77-$J77</f>
        <v/>
      </c>
      <c r="L77" s="17">
        <f>IF($C77=1,$K77,$L76+$K77)</f>
        <v/>
      </c>
      <c r="M77" s="25">
        <f>IF($G77&gt;0,$L77/$G77,0)</f>
        <v/>
      </c>
      <c r="N77" s="17">
        <f>IF('Plan setup'!$B$10="",0,MAX(0,MIN(MAX($L77,0),IF('Plan setup'!$C$10="",9E+15,'Plan setup'!$C$10*$G77))-'Plan setup'!$B$10*$G77))</f>
        <v/>
      </c>
      <c r="O77" s="17">
        <f>IF('Plan setup'!$B$11="",0,MAX(0,MIN(MAX($L77,0),IF('Plan setup'!$C$11="",9E+15,'Plan setup'!$C$11*$G77))-'Plan setup'!$B$11*$G77))</f>
        <v/>
      </c>
      <c r="P77" s="17">
        <f>IF('Plan setup'!$B$12="",0,MAX(0,MIN(MAX($L77,0),IF('Plan setup'!$C$12="",9E+15,'Plan setup'!$C$12*$G77))-'Plan setup'!$B$12*$G77))</f>
        <v/>
      </c>
      <c r="Q77" s="17">
        <f>IF('Plan setup'!$B$13="",0,MAX(0,MIN(MAX($L77,0),IF('Plan setup'!$C$13="",9E+15,'Plan setup'!$C$13*$G77))-'Plan setup'!$B$13*$G77))</f>
        <v/>
      </c>
      <c r="R77" s="17">
        <f>$H77*($N77*N('Plan setup'!$D$10)+$O77*N('Plan setup'!$D$11)+$P77*N('Plan setup'!$D$12)+$Q77*N('Plan setup'!$D$13))</f>
        <v/>
      </c>
      <c r="S77" s="17">
        <f>IF($C77=1,0,$U76)</f>
        <v/>
      </c>
      <c r="T77" s="17">
        <f>MAX(0,$R77-$S77)</f>
        <v/>
      </c>
      <c r="U77" s="17">
        <f>$S77+$T77</f>
        <v/>
      </c>
      <c r="V77" s="17">
        <f>MAX(0,$U77-$R77)</f>
        <v/>
      </c>
      <c r="W77">
        <f>IF($B77="","",IF($L77&lt;=0,"Tier 1","Tier "&amp;COUNTIF('Plan setup'!$B$10:$B$13,"&lt;="&amp;$M77)))</f>
        <v/>
      </c>
      <c r="X77" s="16">
        <f>IF($L77&gt;0,$R77/$L77,0)</f>
        <v/>
      </c>
    </row>
    <row r="78">
      <c r="A78">
        <f>INT((ROW()-2)/12)+1</f>
        <v/>
      </c>
      <c r="B78">
        <f>IF(INDEX('Plan setup'!$A$25:$A$34,$A78)="","",INDEX('Plan setup'!$A$25:$A$34,$A78))</f>
        <v/>
      </c>
      <c r="C78">
        <f>MOD(ROW()-2,12)+1</f>
        <v/>
      </c>
      <c r="D78" s="24">
        <f>EDATE('Plan setup'!$B$3,$C78-1)</f>
        <v/>
      </c>
      <c r="E78" s="24">
        <f>EDATE('Plan setup'!$B$3,$C78)-1</f>
        <v/>
      </c>
      <c r="F78">
        <f>$B78&amp;"|"&amp;$C78</f>
        <v/>
      </c>
      <c r="G78" s="17">
        <f>IF($B78="",0,IFERROR(INDEX('Plan setup'!$C$25:$C$34,$A78)*1,0))</f>
        <v/>
      </c>
      <c r="H78" s="16">
        <f>IF($B78="",0,IFERROR(INDEX('Plan setup'!$E$25:$E$34,$A78)*1,0))</f>
        <v/>
      </c>
      <c r="I78" s="17">
        <f>IF($B78="",0,SUMIFS(Deals!$N$2:$N$301,Deals!$F$2:$F$301,$B78,Deals!$B$2:$B$301,"&gt;="&amp;$D78,Deals!$B$2:$B$301,"&lt;="&amp;$E78)+SUMIFS(Deals!$O$2:$O$301,Deals!$H$2:$H$301,$B78,Deals!$B$2:$B$301,"&gt;="&amp;$D78,Deals!$B$2:$B$301,"&lt;="&amp;$E78))</f>
        <v/>
      </c>
      <c r="J78" s="17">
        <f>IF($B78="",0,SUMIFS(Deals!$N$2:$N$301,Deals!$F$2:$F$301,$B78,Deals!$Q$2:$Q$301,"&gt;="&amp;$D78,Deals!$Q$2:$Q$301,"&lt;="&amp;$E78)+SUMIFS(Deals!$O$2:$O$301,Deals!$H$2:$H$301,$B78,Deals!$Q$2:$Q$301,"&gt;="&amp;$D78,Deals!$Q$2:$Q$301,"&lt;="&amp;$E78))</f>
        <v/>
      </c>
      <c r="K78" s="17">
        <f>$I78-$J78</f>
        <v/>
      </c>
      <c r="L78" s="17">
        <f>IF($C78=1,$K78,$L77+$K78)</f>
        <v/>
      </c>
      <c r="M78" s="25">
        <f>IF($G78&gt;0,$L78/$G78,0)</f>
        <v/>
      </c>
      <c r="N78" s="17">
        <f>IF('Plan setup'!$B$10="",0,MAX(0,MIN(MAX($L78,0),IF('Plan setup'!$C$10="",9E+15,'Plan setup'!$C$10*$G78))-'Plan setup'!$B$10*$G78))</f>
        <v/>
      </c>
      <c r="O78" s="17">
        <f>IF('Plan setup'!$B$11="",0,MAX(0,MIN(MAX($L78,0),IF('Plan setup'!$C$11="",9E+15,'Plan setup'!$C$11*$G78))-'Plan setup'!$B$11*$G78))</f>
        <v/>
      </c>
      <c r="P78" s="17">
        <f>IF('Plan setup'!$B$12="",0,MAX(0,MIN(MAX($L78,0),IF('Plan setup'!$C$12="",9E+15,'Plan setup'!$C$12*$G78))-'Plan setup'!$B$12*$G78))</f>
        <v/>
      </c>
      <c r="Q78" s="17">
        <f>IF('Plan setup'!$B$13="",0,MAX(0,MIN(MAX($L78,0),IF('Plan setup'!$C$13="",9E+15,'Plan setup'!$C$13*$G78))-'Plan setup'!$B$13*$G78))</f>
        <v/>
      </c>
      <c r="R78" s="17">
        <f>$H78*($N78*N('Plan setup'!$D$10)+$O78*N('Plan setup'!$D$11)+$P78*N('Plan setup'!$D$12)+$Q78*N('Plan setup'!$D$13))</f>
        <v/>
      </c>
      <c r="S78" s="17">
        <f>IF($C78=1,0,$U77)</f>
        <v/>
      </c>
      <c r="T78" s="17">
        <f>MAX(0,$R78-$S78)</f>
        <v/>
      </c>
      <c r="U78" s="17">
        <f>$S78+$T78</f>
        <v/>
      </c>
      <c r="V78" s="17">
        <f>MAX(0,$U78-$R78)</f>
        <v/>
      </c>
      <c r="W78">
        <f>IF($B78="","",IF($L78&lt;=0,"Tier 1","Tier "&amp;COUNTIF('Plan setup'!$B$10:$B$13,"&lt;="&amp;$M78)))</f>
        <v/>
      </c>
      <c r="X78" s="16">
        <f>IF($L78&gt;0,$R78/$L78,0)</f>
        <v/>
      </c>
    </row>
    <row r="79">
      <c r="A79">
        <f>INT((ROW()-2)/12)+1</f>
        <v/>
      </c>
      <c r="B79">
        <f>IF(INDEX('Plan setup'!$A$25:$A$34,$A79)="","",INDEX('Plan setup'!$A$25:$A$34,$A79))</f>
        <v/>
      </c>
      <c r="C79">
        <f>MOD(ROW()-2,12)+1</f>
        <v/>
      </c>
      <c r="D79" s="24">
        <f>EDATE('Plan setup'!$B$3,$C79-1)</f>
        <v/>
      </c>
      <c r="E79" s="24">
        <f>EDATE('Plan setup'!$B$3,$C79)-1</f>
        <v/>
      </c>
      <c r="F79">
        <f>$B79&amp;"|"&amp;$C79</f>
        <v/>
      </c>
      <c r="G79" s="17">
        <f>IF($B79="",0,IFERROR(INDEX('Plan setup'!$C$25:$C$34,$A79)*1,0))</f>
        <v/>
      </c>
      <c r="H79" s="16">
        <f>IF($B79="",0,IFERROR(INDEX('Plan setup'!$E$25:$E$34,$A79)*1,0))</f>
        <v/>
      </c>
      <c r="I79" s="17">
        <f>IF($B79="",0,SUMIFS(Deals!$N$2:$N$301,Deals!$F$2:$F$301,$B79,Deals!$B$2:$B$301,"&gt;="&amp;$D79,Deals!$B$2:$B$301,"&lt;="&amp;$E79)+SUMIFS(Deals!$O$2:$O$301,Deals!$H$2:$H$301,$B79,Deals!$B$2:$B$301,"&gt;="&amp;$D79,Deals!$B$2:$B$301,"&lt;="&amp;$E79))</f>
        <v/>
      </c>
      <c r="J79" s="17">
        <f>IF($B79="",0,SUMIFS(Deals!$N$2:$N$301,Deals!$F$2:$F$301,$B79,Deals!$Q$2:$Q$301,"&gt;="&amp;$D79,Deals!$Q$2:$Q$301,"&lt;="&amp;$E79)+SUMIFS(Deals!$O$2:$O$301,Deals!$H$2:$H$301,$B79,Deals!$Q$2:$Q$301,"&gt;="&amp;$D79,Deals!$Q$2:$Q$301,"&lt;="&amp;$E79))</f>
        <v/>
      </c>
      <c r="K79" s="17">
        <f>$I79-$J79</f>
        <v/>
      </c>
      <c r="L79" s="17">
        <f>IF($C79=1,$K79,$L78+$K79)</f>
        <v/>
      </c>
      <c r="M79" s="25">
        <f>IF($G79&gt;0,$L79/$G79,0)</f>
        <v/>
      </c>
      <c r="N79" s="17">
        <f>IF('Plan setup'!$B$10="",0,MAX(0,MIN(MAX($L79,0),IF('Plan setup'!$C$10="",9E+15,'Plan setup'!$C$10*$G79))-'Plan setup'!$B$10*$G79))</f>
        <v/>
      </c>
      <c r="O79" s="17">
        <f>IF('Plan setup'!$B$11="",0,MAX(0,MIN(MAX($L79,0),IF('Plan setup'!$C$11="",9E+15,'Plan setup'!$C$11*$G79))-'Plan setup'!$B$11*$G79))</f>
        <v/>
      </c>
      <c r="P79" s="17">
        <f>IF('Plan setup'!$B$12="",0,MAX(0,MIN(MAX($L79,0),IF('Plan setup'!$C$12="",9E+15,'Plan setup'!$C$12*$G79))-'Plan setup'!$B$12*$G79))</f>
        <v/>
      </c>
      <c r="Q79" s="17">
        <f>IF('Plan setup'!$B$13="",0,MAX(0,MIN(MAX($L79,0),IF('Plan setup'!$C$13="",9E+15,'Plan setup'!$C$13*$G79))-'Plan setup'!$B$13*$G79))</f>
        <v/>
      </c>
      <c r="R79" s="17">
        <f>$H79*($N79*N('Plan setup'!$D$10)+$O79*N('Plan setup'!$D$11)+$P79*N('Plan setup'!$D$12)+$Q79*N('Plan setup'!$D$13))</f>
        <v/>
      </c>
      <c r="S79" s="17">
        <f>IF($C79=1,0,$U78)</f>
        <v/>
      </c>
      <c r="T79" s="17">
        <f>MAX(0,$R79-$S79)</f>
        <v/>
      </c>
      <c r="U79" s="17">
        <f>$S79+$T79</f>
        <v/>
      </c>
      <c r="V79" s="17">
        <f>MAX(0,$U79-$R79)</f>
        <v/>
      </c>
      <c r="W79">
        <f>IF($B79="","",IF($L79&lt;=0,"Tier 1","Tier "&amp;COUNTIF('Plan setup'!$B$10:$B$13,"&lt;="&amp;$M79)))</f>
        <v/>
      </c>
      <c r="X79" s="16">
        <f>IF($L79&gt;0,$R79/$L79,0)</f>
        <v/>
      </c>
    </row>
    <row r="80">
      <c r="A80">
        <f>INT((ROW()-2)/12)+1</f>
        <v/>
      </c>
      <c r="B80">
        <f>IF(INDEX('Plan setup'!$A$25:$A$34,$A80)="","",INDEX('Plan setup'!$A$25:$A$34,$A80))</f>
        <v/>
      </c>
      <c r="C80">
        <f>MOD(ROW()-2,12)+1</f>
        <v/>
      </c>
      <c r="D80" s="24">
        <f>EDATE('Plan setup'!$B$3,$C80-1)</f>
        <v/>
      </c>
      <c r="E80" s="24">
        <f>EDATE('Plan setup'!$B$3,$C80)-1</f>
        <v/>
      </c>
      <c r="F80">
        <f>$B80&amp;"|"&amp;$C80</f>
        <v/>
      </c>
      <c r="G80" s="17">
        <f>IF($B80="",0,IFERROR(INDEX('Plan setup'!$C$25:$C$34,$A80)*1,0))</f>
        <v/>
      </c>
      <c r="H80" s="16">
        <f>IF($B80="",0,IFERROR(INDEX('Plan setup'!$E$25:$E$34,$A80)*1,0))</f>
        <v/>
      </c>
      <c r="I80" s="17">
        <f>IF($B80="",0,SUMIFS(Deals!$N$2:$N$301,Deals!$F$2:$F$301,$B80,Deals!$B$2:$B$301,"&gt;="&amp;$D80,Deals!$B$2:$B$301,"&lt;="&amp;$E80)+SUMIFS(Deals!$O$2:$O$301,Deals!$H$2:$H$301,$B80,Deals!$B$2:$B$301,"&gt;="&amp;$D80,Deals!$B$2:$B$301,"&lt;="&amp;$E80))</f>
        <v/>
      </c>
      <c r="J80" s="17">
        <f>IF($B80="",0,SUMIFS(Deals!$N$2:$N$301,Deals!$F$2:$F$301,$B80,Deals!$Q$2:$Q$301,"&gt;="&amp;$D80,Deals!$Q$2:$Q$301,"&lt;="&amp;$E80)+SUMIFS(Deals!$O$2:$O$301,Deals!$H$2:$H$301,$B80,Deals!$Q$2:$Q$301,"&gt;="&amp;$D80,Deals!$Q$2:$Q$301,"&lt;="&amp;$E80))</f>
        <v/>
      </c>
      <c r="K80" s="17">
        <f>$I80-$J80</f>
        <v/>
      </c>
      <c r="L80" s="17">
        <f>IF($C80=1,$K80,$L79+$K80)</f>
        <v/>
      </c>
      <c r="M80" s="25">
        <f>IF($G80&gt;0,$L80/$G80,0)</f>
        <v/>
      </c>
      <c r="N80" s="17">
        <f>IF('Plan setup'!$B$10="",0,MAX(0,MIN(MAX($L80,0),IF('Plan setup'!$C$10="",9E+15,'Plan setup'!$C$10*$G80))-'Plan setup'!$B$10*$G80))</f>
        <v/>
      </c>
      <c r="O80" s="17">
        <f>IF('Plan setup'!$B$11="",0,MAX(0,MIN(MAX($L80,0),IF('Plan setup'!$C$11="",9E+15,'Plan setup'!$C$11*$G80))-'Plan setup'!$B$11*$G80))</f>
        <v/>
      </c>
      <c r="P80" s="17">
        <f>IF('Plan setup'!$B$12="",0,MAX(0,MIN(MAX($L80,0),IF('Plan setup'!$C$12="",9E+15,'Plan setup'!$C$12*$G80))-'Plan setup'!$B$12*$G80))</f>
        <v/>
      </c>
      <c r="Q80" s="17">
        <f>IF('Plan setup'!$B$13="",0,MAX(0,MIN(MAX($L80,0),IF('Plan setup'!$C$13="",9E+15,'Plan setup'!$C$13*$G80))-'Plan setup'!$B$13*$G80))</f>
        <v/>
      </c>
      <c r="R80" s="17">
        <f>$H80*($N80*N('Plan setup'!$D$10)+$O80*N('Plan setup'!$D$11)+$P80*N('Plan setup'!$D$12)+$Q80*N('Plan setup'!$D$13))</f>
        <v/>
      </c>
      <c r="S80" s="17">
        <f>IF($C80=1,0,$U79)</f>
        <v/>
      </c>
      <c r="T80" s="17">
        <f>MAX(0,$R80-$S80)</f>
        <v/>
      </c>
      <c r="U80" s="17">
        <f>$S80+$T80</f>
        <v/>
      </c>
      <c r="V80" s="17">
        <f>MAX(0,$U80-$R80)</f>
        <v/>
      </c>
      <c r="W80">
        <f>IF($B80="","",IF($L80&lt;=0,"Tier 1","Tier "&amp;COUNTIF('Plan setup'!$B$10:$B$13,"&lt;="&amp;$M80)))</f>
        <v/>
      </c>
      <c r="X80" s="16">
        <f>IF($L80&gt;0,$R80/$L80,0)</f>
        <v/>
      </c>
    </row>
    <row r="81">
      <c r="A81">
        <f>INT((ROW()-2)/12)+1</f>
        <v/>
      </c>
      <c r="B81">
        <f>IF(INDEX('Plan setup'!$A$25:$A$34,$A81)="","",INDEX('Plan setup'!$A$25:$A$34,$A81))</f>
        <v/>
      </c>
      <c r="C81">
        <f>MOD(ROW()-2,12)+1</f>
        <v/>
      </c>
      <c r="D81" s="24">
        <f>EDATE('Plan setup'!$B$3,$C81-1)</f>
        <v/>
      </c>
      <c r="E81" s="24">
        <f>EDATE('Plan setup'!$B$3,$C81)-1</f>
        <v/>
      </c>
      <c r="F81">
        <f>$B81&amp;"|"&amp;$C81</f>
        <v/>
      </c>
      <c r="G81" s="17">
        <f>IF($B81="",0,IFERROR(INDEX('Plan setup'!$C$25:$C$34,$A81)*1,0))</f>
        <v/>
      </c>
      <c r="H81" s="16">
        <f>IF($B81="",0,IFERROR(INDEX('Plan setup'!$E$25:$E$34,$A81)*1,0))</f>
        <v/>
      </c>
      <c r="I81" s="17">
        <f>IF($B81="",0,SUMIFS(Deals!$N$2:$N$301,Deals!$F$2:$F$301,$B81,Deals!$B$2:$B$301,"&gt;="&amp;$D81,Deals!$B$2:$B$301,"&lt;="&amp;$E81)+SUMIFS(Deals!$O$2:$O$301,Deals!$H$2:$H$301,$B81,Deals!$B$2:$B$301,"&gt;="&amp;$D81,Deals!$B$2:$B$301,"&lt;="&amp;$E81))</f>
        <v/>
      </c>
      <c r="J81" s="17">
        <f>IF($B81="",0,SUMIFS(Deals!$N$2:$N$301,Deals!$F$2:$F$301,$B81,Deals!$Q$2:$Q$301,"&gt;="&amp;$D81,Deals!$Q$2:$Q$301,"&lt;="&amp;$E81)+SUMIFS(Deals!$O$2:$O$301,Deals!$H$2:$H$301,$B81,Deals!$Q$2:$Q$301,"&gt;="&amp;$D81,Deals!$Q$2:$Q$301,"&lt;="&amp;$E81))</f>
        <v/>
      </c>
      <c r="K81" s="17">
        <f>$I81-$J81</f>
        <v/>
      </c>
      <c r="L81" s="17">
        <f>IF($C81=1,$K81,$L80+$K81)</f>
        <v/>
      </c>
      <c r="M81" s="25">
        <f>IF($G81&gt;0,$L81/$G81,0)</f>
        <v/>
      </c>
      <c r="N81" s="17">
        <f>IF('Plan setup'!$B$10="",0,MAX(0,MIN(MAX($L81,0),IF('Plan setup'!$C$10="",9E+15,'Plan setup'!$C$10*$G81))-'Plan setup'!$B$10*$G81))</f>
        <v/>
      </c>
      <c r="O81" s="17">
        <f>IF('Plan setup'!$B$11="",0,MAX(0,MIN(MAX($L81,0),IF('Plan setup'!$C$11="",9E+15,'Plan setup'!$C$11*$G81))-'Plan setup'!$B$11*$G81))</f>
        <v/>
      </c>
      <c r="P81" s="17">
        <f>IF('Plan setup'!$B$12="",0,MAX(0,MIN(MAX($L81,0),IF('Plan setup'!$C$12="",9E+15,'Plan setup'!$C$12*$G81))-'Plan setup'!$B$12*$G81))</f>
        <v/>
      </c>
      <c r="Q81" s="17">
        <f>IF('Plan setup'!$B$13="",0,MAX(0,MIN(MAX($L81,0),IF('Plan setup'!$C$13="",9E+15,'Plan setup'!$C$13*$G81))-'Plan setup'!$B$13*$G81))</f>
        <v/>
      </c>
      <c r="R81" s="17">
        <f>$H81*($N81*N('Plan setup'!$D$10)+$O81*N('Plan setup'!$D$11)+$P81*N('Plan setup'!$D$12)+$Q81*N('Plan setup'!$D$13))</f>
        <v/>
      </c>
      <c r="S81" s="17">
        <f>IF($C81=1,0,$U80)</f>
        <v/>
      </c>
      <c r="T81" s="17">
        <f>MAX(0,$R81-$S81)</f>
        <v/>
      </c>
      <c r="U81" s="17">
        <f>$S81+$T81</f>
        <v/>
      </c>
      <c r="V81" s="17">
        <f>MAX(0,$U81-$R81)</f>
        <v/>
      </c>
      <c r="W81">
        <f>IF($B81="","",IF($L81&lt;=0,"Tier 1","Tier "&amp;COUNTIF('Plan setup'!$B$10:$B$13,"&lt;="&amp;$M81)))</f>
        <v/>
      </c>
      <c r="X81" s="16">
        <f>IF($L81&gt;0,$R81/$L81,0)</f>
        <v/>
      </c>
    </row>
    <row r="82">
      <c r="A82">
        <f>INT((ROW()-2)/12)+1</f>
        <v/>
      </c>
      <c r="B82">
        <f>IF(INDEX('Plan setup'!$A$25:$A$34,$A82)="","",INDEX('Plan setup'!$A$25:$A$34,$A82))</f>
        <v/>
      </c>
      <c r="C82">
        <f>MOD(ROW()-2,12)+1</f>
        <v/>
      </c>
      <c r="D82" s="24">
        <f>EDATE('Plan setup'!$B$3,$C82-1)</f>
        <v/>
      </c>
      <c r="E82" s="24">
        <f>EDATE('Plan setup'!$B$3,$C82)-1</f>
        <v/>
      </c>
      <c r="F82">
        <f>$B82&amp;"|"&amp;$C82</f>
        <v/>
      </c>
      <c r="G82" s="17">
        <f>IF($B82="",0,IFERROR(INDEX('Plan setup'!$C$25:$C$34,$A82)*1,0))</f>
        <v/>
      </c>
      <c r="H82" s="16">
        <f>IF($B82="",0,IFERROR(INDEX('Plan setup'!$E$25:$E$34,$A82)*1,0))</f>
        <v/>
      </c>
      <c r="I82" s="17">
        <f>IF($B82="",0,SUMIFS(Deals!$N$2:$N$301,Deals!$F$2:$F$301,$B82,Deals!$B$2:$B$301,"&gt;="&amp;$D82,Deals!$B$2:$B$301,"&lt;="&amp;$E82)+SUMIFS(Deals!$O$2:$O$301,Deals!$H$2:$H$301,$B82,Deals!$B$2:$B$301,"&gt;="&amp;$D82,Deals!$B$2:$B$301,"&lt;="&amp;$E82))</f>
        <v/>
      </c>
      <c r="J82" s="17">
        <f>IF($B82="",0,SUMIFS(Deals!$N$2:$N$301,Deals!$F$2:$F$301,$B82,Deals!$Q$2:$Q$301,"&gt;="&amp;$D82,Deals!$Q$2:$Q$301,"&lt;="&amp;$E82)+SUMIFS(Deals!$O$2:$O$301,Deals!$H$2:$H$301,$B82,Deals!$Q$2:$Q$301,"&gt;="&amp;$D82,Deals!$Q$2:$Q$301,"&lt;="&amp;$E82))</f>
        <v/>
      </c>
      <c r="K82" s="17">
        <f>$I82-$J82</f>
        <v/>
      </c>
      <c r="L82" s="17">
        <f>IF($C82=1,$K82,$L81+$K82)</f>
        <v/>
      </c>
      <c r="M82" s="25">
        <f>IF($G82&gt;0,$L82/$G82,0)</f>
        <v/>
      </c>
      <c r="N82" s="17">
        <f>IF('Plan setup'!$B$10="",0,MAX(0,MIN(MAX($L82,0),IF('Plan setup'!$C$10="",9E+15,'Plan setup'!$C$10*$G82))-'Plan setup'!$B$10*$G82))</f>
        <v/>
      </c>
      <c r="O82" s="17">
        <f>IF('Plan setup'!$B$11="",0,MAX(0,MIN(MAX($L82,0),IF('Plan setup'!$C$11="",9E+15,'Plan setup'!$C$11*$G82))-'Plan setup'!$B$11*$G82))</f>
        <v/>
      </c>
      <c r="P82" s="17">
        <f>IF('Plan setup'!$B$12="",0,MAX(0,MIN(MAX($L82,0),IF('Plan setup'!$C$12="",9E+15,'Plan setup'!$C$12*$G82))-'Plan setup'!$B$12*$G82))</f>
        <v/>
      </c>
      <c r="Q82" s="17">
        <f>IF('Plan setup'!$B$13="",0,MAX(0,MIN(MAX($L82,0),IF('Plan setup'!$C$13="",9E+15,'Plan setup'!$C$13*$G82))-'Plan setup'!$B$13*$G82))</f>
        <v/>
      </c>
      <c r="R82" s="17">
        <f>$H82*($N82*N('Plan setup'!$D$10)+$O82*N('Plan setup'!$D$11)+$P82*N('Plan setup'!$D$12)+$Q82*N('Plan setup'!$D$13))</f>
        <v/>
      </c>
      <c r="S82" s="17">
        <f>IF($C82=1,0,$U81)</f>
        <v/>
      </c>
      <c r="T82" s="17">
        <f>MAX(0,$R82-$S82)</f>
        <v/>
      </c>
      <c r="U82" s="17">
        <f>$S82+$T82</f>
        <v/>
      </c>
      <c r="V82" s="17">
        <f>MAX(0,$U82-$R82)</f>
        <v/>
      </c>
      <c r="W82">
        <f>IF($B82="","",IF($L82&lt;=0,"Tier 1","Tier "&amp;COUNTIF('Plan setup'!$B$10:$B$13,"&lt;="&amp;$M82)))</f>
        <v/>
      </c>
      <c r="X82" s="16">
        <f>IF($L82&gt;0,$R82/$L82,0)</f>
        <v/>
      </c>
    </row>
    <row r="83">
      <c r="A83">
        <f>INT((ROW()-2)/12)+1</f>
        <v/>
      </c>
      <c r="B83">
        <f>IF(INDEX('Plan setup'!$A$25:$A$34,$A83)="","",INDEX('Plan setup'!$A$25:$A$34,$A83))</f>
        <v/>
      </c>
      <c r="C83">
        <f>MOD(ROW()-2,12)+1</f>
        <v/>
      </c>
      <c r="D83" s="24">
        <f>EDATE('Plan setup'!$B$3,$C83-1)</f>
        <v/>
      </c>
      <c r="E83" s="24">
        <f>EDATE('Plan setup'!$B$3,$C83)-1</f>
        <v/>
      </c>
      <c r="F83">
        <f>$B83&amp;"|"&amp;$C83</f>
        <v/>
      </c>
      <c r="G83" s="17">
        <f>IF($B83="",0,IFERROR(INDEX('Plan setup'!$C$25:$C$34,$A83)*1,0))</f>
        <v/>
      </c>
      <c r="H83" s="16">
        <f>IF($B83="",0,IFERROR(INDEX('Plan setup'!$E$25:$E$34,$A83)*1,0))</f>
        <v/>
      </c>
      <c r="I83" s="17">
        <f>IF($B83="",0,SUMIFS(Deals!$N$2:$N$301,Deals!$F$2:$F$301,$B83,Deals!$B$2:$B$301,"&gt;="&amp;$D83,Deals!$B$2:$B$301,"&lt;="&amp;$E83)+SUMIFS(Deals!$O$2:$O$301,Deals!$H$2:$H$301,$B83,Deals!$B$2:$B$301,"&gt;="&amp;$D83,Deals!$B$2:$B$301,"&lt;="&amp;$E83))</f>
        <v/>
      </c>
      <c r="J83" s="17">
        <f>IF($B83="",0,SUMIFS(Deals!$N$2:$N$301,Deals!$F$2:$F$301,$B83,Deals!$Q$2:$Q$301,"&gt;="&amp;$D83,Deals!$Q$2:$Q$301,"&lt;="&amp;$E83)+SUMIFS(Deals!$O$2:$O$301,Deals!$H$2:$H$301,$B83,Deals!$Q$2:$Q$301,"&gt;="&amp;$D83,Deals!$Q$2:$Q$301,"&lt;="&amp;$E83))</f>
        <v/>
      </c>
      <c r="K83" s="17">
        <f>$I83-$J83</f>
        <v/>
      </c>
      <c r="L83" s="17">
        <f>IF($C83=1,$K83,$L82+$K83)</f>
        <v/>
      </c>
      <c r="M83" s="25">
        <f>IF($G83&gt;0,$L83/$G83,0)</f>
        <v/>
      </c>
      <c r="N83" s="17">
        <f>IF('Plan setup'!$B$10="",0,MAX(0,MIN(MAX($L83,0),IF('Plan setup'!$C$10="",9E+15,'Plan setup'!$C$10*$G83))-'Plan setup'!$B$10*$G83))</f>
        <v/>
      </c>
      <c r="O83" s="17">
        <f>IF('Plan setup'!$B$11="",0,MAX(0,MIN(MAX($L83,0),IF('Plan setup'!$C$11="",9E+15,'Plan setup'!$C$11*$G83))-'Plan setup'!$B$11*$G83))</f>
        <v/>
      </c>
      <c r="P83" s="17">
        <f>IF('Plan setup'!$B$12="",0,MAX(0,MIN(MAX($L83,0),IF('Plan setup'!$C$12="",9E+15,'Plan setup'!$C$12*$G83))-'Plan setup'!$B$12*$G83))</f>
        <v/>
      </c>
      <c r="Q83" s="17">
        <f>IF('Plan setup'!$B$13="",0,MAX(0,MIN(MAX($L83,0),IF('Plan setup'!$C$13="",9E+15,'Plan setup'!$C$13*$G83))-'Plan setup'!$B$13*$G83))</f>
        <v/>
      </c>
      <c r="R83" s="17">
        <f>$H83*($N83*N('Plan setup'!$D$10)+$O83*N('Plan setup'!$D$11)+$P83*N('Plan setup'!$D$12)+$Q83*N('Plan setup'!$D$13))</f>
        <v/>
      </c>
      <c r="S83" s="17">
        <f>IF($C83=1,0,$U82)</f>
        <v/>
      </c>
      <c r="T83" s="17">
        <f>MAX(0,$R83-$S83)</f>
        <v/>
      </c>
      <c r="U83" s="17">
        <f>$S83+$T83</f>
        <v/>
      </c>
      <c r="V83" s="17">
        <f>MAX(0,$U83-$R83)</f>
        <v/>
      </c>
      <c r="W83">
        <f>IF($B83="","",IF($L83&lt;=0,"Tier 1","Tier "&amp;COUNTIF('Plan setup'!$B$10:$B$13,"&lt;="&amp;$M83)))</f>
        <v/>
      </c>
      <c r="X83" s="16">
        <f>IF($L83&gt;0,$R83/$L83,0)</f>
        <v/>
      </c>
    </row>
    <row r="84">
      <c r="A84">
        <f>INT((ROW()-2)/12)+1</f>
        <v/>
      </c>
      <c r="B84">
        <f>IF(INDEX('Plan setup'!$A$25:$A$34,$A84)="","",INDEX('Plan setup'!$A$25:$A$34,$A84))</f>
        <v/>
      </c>
      <c r="C84">
        <f>MOD(ROW()-2,12)+1</f>
        <v/>
      </c>
      <c r="D84" s="24">
        <f>EDATE('Plan setup'!$B$3,$C84-1)</f>
        <v/>
      </c>
      <c r="E84" s="24">
        <f>EDATE('Plan setup'!$B$3,$C84)-1</f>
        <v/>
      </c>
      <c r="F84">
        <f>$B84&amp;"|"&amp;$C84</f>
        <v/>
      </c>
      <c r="G84" s="17">
        <f>IF($B84="",0,IFERROR(INDEX('Plan setup'!$C$25:$C$34,$A84)*1,0))</f>
        <v/>
      </c>
      <c r="H84" s="16">
        <f>IF($B84="",0,IFERROR(INDEX('Plan setup'!$E$25:$E$34,$A84)*1,0))</f>
        <v/>
      </c>
      <c r="I84" s="17">
        <f>IF($B84="",0,SUMIFS(Deals!$N$2:$N$301,Deals!$F$2:$F$301,$B84,Deals!$B$2:$B$301,"&gt;="&amp;$D84,Deals!$B$2:$B$301,"&lt;="&amp;$E84)+SUMIFS(Deals!$O$2:$O$301,Deals!$H$2:$H$301,$B84,Deals!$B$2:$B$301,"&gt;="&amp;$D84,Deals!$B$2:$B$301,"&lt;="&amp;$E84))</f>
        <v/>
      </c>
      <c r="J84" s="17">
        <f>IF($B84="",0,SUMIFS(Deals!$N$2:$N$301,Deals!$F$2:$F$301,$B84,Deals!$Q$2:$Q$301,"&gt;="&amp;$D84,Deals!$Q$2:$Q$301,"&lt;="&amp;$E84)+SUMIFS(Deals!$O$2:$O$301,Deals!$H$2:$H$301,$B84,Deals!$Q$2:$Q$301,"&gt;="&amp;$D84,Deals!$Q$2:$Q$301,"&lt;="&amp;$E84))</f>
        <v/>
      </c>
      <c r="K84" s="17">
        <f>$I84-$J84</f>
        <v/>
      </c>
      <c r="L84" s="17">
        <f>IF($C84=1,$K84,$L83+$K84)</f>
        <v/>
      </c>
      <c r="M84" s="25">
        <f>IF($G84&gt;0,$L84/$G84,0)</f>
        <v/>
      </c>
      <c r="N84" s="17">
        <f>IF('Plan setup'!$B$10="",0,MAX(0,MIN(MAX($L84,0),IF('Plan setup'!$C$10="",9E+15,'Plan setup'!$C$10*$G84))-'Plan setup'!$B$10*$G84))</f>
        <v/>
      </c>
      <c r="O84" s="17">
        <f>IF('Plan setup'!$B$11="",0,MAX(0,MIN(MAX($L84,0),IF('Plan setup'!$C$11="",9E+15,'Plan setup'!$C$11*$G84))-'Plan setup'!$B$11*$G84))</f>
        <v/>
      </c>
      <c r="P84" s="17">
        <f>IF('Plan setup'!$B$12="",0,MAX(0,MIN(MAX($L84,0),IF('Plan setup'!$C$12="",9E+15,'Plan setup'!$C$12*$G84))-'Plan setup'!$B$12*$G84))</f>
        <v/>
      </c>
      <c r="Q84" s="17">
        <f>IF('Plan setup'!$B$13="",0,MAX(0,MIN(MAX($L84,0),IF('Plan setup'!$C$13="",9E+15,'Plan setup'!$C$13*$G84))-'Plan setup'!$B$13*$G84))</f>
        <v/>
      </c>
      <c r="R84" s="17">
        <f>$H84*($N84*N('Plan setup'!$D$10)+$O84*N('Plan setup'!$D$11)+$P84*N('Plan setup'!$D$12)+$Q84*N('Plan setup'!$D$13))</f>
        <v/>
      </c>
      <c r="S84" s="17">
        <f>IF($C84=1,0,$U83)</f>
        <v/>
      </c>
      <c r="T84" s="17">
        <f>MAX(0,$R84-$S84)</f>
        <v/>
      </c>
      <c r="U84" s="17">
        <f>$S84+$T84</f>
        <v/>
      </c>
      <c r="V84" s="17">
        <f>MAX(0,$U84-$R84)</f>
        <v/>
      </c>
      <c r="W84">
        <f>IF($B84="","",IF($L84&lt;=0,"Tier 1","Tier "&amp;COUNTIF('Plan setup'!$B$10:$B$13,"&lt;="&amp;$M84)))</f>
        <v/>
      </c>
      <c r="X84" s="16">
        <f>IF($L84&gt;0,$R84/$L84,0)</f>
        <v/>
      </c>
    </row>
    <row r="85">
      <c r="A85">
        <f>INT((ROW()-2)/12)+1</f>
        <v/>
      </c>
      <c r="B85">
        <f>IF(INDEX('Plan setup'!$A$25:$A$34,$A85)="","",INDEX('Plan setup'!$A$25:$A$34,$A85))</f>
        <v/>
      </c>
      <c r="C85">
        <f>MOD(ROW()-2,12)+1</f>
        <v/>
      </c>
      <c r="D85" s="24">
        <f>EDATE('Plan setup'!$B$3,$C85-1)</f>
        <v/>
      </c>
      <c r="E85" s="24">
        <f>EDATE('Plan setup'!$B$3,$C85)-1</f>
        <v/>
      </c>
      <c r="F85">
        <f>$B85&amp;"|"&amp;$C85</f>
        <v/>
      </c>
      <c r="G85" s="17">
        <f>IF($B85="",0,IFERROR(INDEX('Plan setup'!$C$25:$C$34,$A85)*1,0))</f>
        <v/>
      </c>
      <c r="H85" s="16">
        <f>IF($B85="",0,IFERROR(INDEX('Plan setup'!$E$25:$E$34,$A85)*1,0))</f>
        <v/>
      </c>
      <c r="I85" s="17">
        <f>IF($B85="",0,SUMIFS(Deals!$N$2:$N$301,Deals!$F$2:$F$301,$B85,Deals!$B$2:$B$301,"&gt;="&amp;$D85,Deals!$B$2:$B$301,"&lt;="&amp;$E85)+SUMIFS(Deals!$O$2:$O$301,Deals!$H$2:$H$301,$B85,Deals!$B$2:$B$301,"&gt;="&amp;$D85,Deals!$B$2:$B$301,"&lt;="&amp;$E85))</f>
        <v/>
      </c>
      <c r="J85" s="17">
        <f>IF($B85="",0,SUMIFS(Deals!$N$2:$N$301,Deals!$F$2:$F$301,$B85,Deals!$Q$2:$Q$301,"&gt;="&amp;$D85,Deals!$Q$2:$Q$301,"&lt;="&amp;$E85)+SUMIFS(Deals!$O$2:$O$301,Deals!$H$2:$H$301,$B85,Deals!$Q$2:$Q$301,"&gt;="&amp;$D85,Deals!$Q$2:$Q$301,"&lt;="&amp;$E85))</f>
        <v/>
      </c>
      <c r="K85" s="17">
        <f>$I85-$J85</f>
        <v/>
      </c>
      <c r="L85" s="17">
        <f>IF($C85=1,$K85,$L84+$K85)</f>
        <v/>
      </c>
      <c r="M85" s="25">
        <f>IF($G85&gt;0,$L85/$G85,0)</f>
        <v/>
      </c>
      <c r="N85" s="17">
        <f>IF('Plan setup'!$B$10="",0,MAX(0,MIN(MAX($L85,0),IF('Plan setup'!$C$10="",9E+15,'Plan setup'!$C$10*$G85))-'Plan setup'!$B$10*$G85))</f>
        <v/>
      </c>
      <c r="O85" s="17">
        <f>IF('Plan setup'!$B$11="",0,MAX(0,MIN(MAX($L85,0),IF('Plan setup'!$C$11="",9E+15,'Plan setup'!$C$11*$G85))-'Plan setup'!$B$11*$G85))</f>
        <v/>
      </c>
      <c r="P85" s="17">
        <f>IF('Plan setup'!$B$12="",0,MAX(0,MIN(MAX($L85,0),IF('Plan setup'!$C$12="",9E+15,'Plan setup'!$C$12*$G85))-'Plan setup'!$B$12*$G85))</f>
        <v/>
      </c>
      <c r="Q85" s="17">
        <f>IF('Plan setup'!$B$13="",0,MAX(0,MIN(MAX($L85,0),IF('Plan setup'!$C$13="",9E+15,'Plan setup'!$C$13*$G85))-'Plan setup'!$B$13*$G85))</f>
        <v/>
      </c>
      <c r="R85" s="17">
        <f>$H85*($N85*N('Plan setup'!$D$10)+$O85*N('Plan setup'!$D$11)+$P85*N('Plan setup'!$D$12)+$Q85*N('Plan setup'!$D$13))</f>
        <v/>
      </c>
      <c r="S85" s="17">
        <f>IF($C85=1,0,$U84)</f>
        <v/>
      </c>
      <c r="T85" s="17">
        <f>MAX(0,$R85-$S85)</f>
        <v/>
      </c>
      <c r="U85" s="17">
        <f>$S85+$T85</f>
        <v/>
      </c>
      <c r="V85" s="17">
        <f>MAX(0,$U85-$R85)</f>
        <v/>
      </c>
      <c r="W85">
        <f>IF($B85="","",IF($L85&lt;=0,"Tier 1","Tier "&amp;COUNTIF('Plan setup'!$B$10:$B$13,"&lt;="&amp;$M85)))</f>
        <v/>
      </c>
      <c r="X85" s="16">
        <f>IF($L85&gt;0,$R85/$L85,0)</f>
        <v/>
      </c>
    </row>
    <row r="86">
      <c r="A86">
        <f>INT((ROW()-2)/12)+1</f>
        <v/>
      </c>
      <c r="B86">
        <f>IF(INDEX('Plan setup'!$A$25:$A$34,$A86)="","",INDEX('Plan setup'!$A$25:$A$34,$A86))</f>
        <v/>
      </c>
      <c r="C86">
        <f>MOD(ROW()-2,12)+1</f>
        <v/>
      </c>
      <c r="D86" s="24">
        <f>EDATE('Plan setup'!$B$3,$C86-1)</f>
        <v/>
      </c>
      <c r="E86" s="24">
        <f>EDATE('Plan setup'!$B$3,$C86)-1</f>
        <v/>
      </c>
      <c r="F86">
        <f>$B86&amp;"|"&amp;$C86</f>
        <v/>
      </c>
      <c r="G86" s="17">
        <f>IF($B86="",0,IFERROR(INDEX('Plan setup'!$C$25:$C$34,$A86)*1,0))</f>
        <v/>
      </c>
      <c r="H86" s="16">
        <f>IF($B86="",0,IFERROR(INDEX('Plan setup'!$E$25:$E$34,$A86)*1,0))</f>
        <v/>
      </c>
      <c r="I86" s="17">
        <f>IF($B86="",0,SUMIFS(Deals!$N$2:$N$301,Deals!$F$2:$F$301,$B86,Deals!$B$2:$B$301,"&gt;="&amp;$D86,Deals!$B$2:$B$301,"&lt;="&amp;$E86)+SUMIFS(Deals!$O$2:$O$301,Deals!$H$2:$H$301,$B86,Deals!$B$2:$B$301,"&gt;="&amp;$D86,Deals!$B$2:$B$301,"&lt;="&amp;$E86))</f>
        <v/>
      </c>
      <c r="J86" s="17">
        <f>IF($B86="",0,SUMIFS(Deals!$N$2:$N$301,Deals!$F$2:$F$301,$B86,Deals!$Q$2:$Q$301,"&gt;="&amp;$D86,Deals!$Q$2:$Q$301,"&lt;="&amp;$E86)+SUMIFS(Deals!$O$2:$O$301,Deals!$H$2:$H$301,$B86,Deals!$Q$2:$Q$301,"&gt;="&amp;$D86,Deals!$Q$2:$Q$301,"&lt;="&amp;$E86))</f>
        <v/>
      </c>
      <c r="K86" s="17">
        <f>$I86-$J86</f>
        <v/>
      </c>
      <c r="L86" s="17">
        <f>IF($C86=1,$K86,$L85+$K86)</f>
        <v/>
      </c>
      <c r="M86" s="25">
        <f>IF($G86&gt;0,$L86/$G86,0)</f>
        <v/>
      </c>
      <c r="N86" s="17">
        <f>IF('Plan setup'!$B$10="",0,MAX(0,MIN(MAX($L86,0),IF('Plan setup'!$C$10="",9E+15,'Plan setup'!$C$10*$G86))-'Plan setup'!$B$10*$G86))</f>
        <v/>
      </c>
      <c r="O86" s="17">
        <f>IF('Plan setup'!$B$11="",0,MAX(0,MIN(MAX($L86,0),IF('Plan setup'!$C$11="",9E+15,'Plan setup'!$C$11*$G86))-'Plan setup'!$B$11*$G86))</f>
        <v/>
      </c>
      <c r="P86" s="17">
        <f>IF('Plan setup'!$B$12="",0,MAX(0,MIN(MAX($L86,0),IF('Plan setup'!$C$12="",9E+15,'Plan setup'!$C$12*$G86))-'Plan setup'!$B$12*$G86))</f>
        <v/>
      </c>
      <c r="Q86" s="17">
        <f>IF('Plan setup'!$B$13="",0,MAX(0,MIN(MAX($L86,0),IF('Plan setup'!$C$13="",9E+15,'Plan setup'!$C$13*$G86))-'Plan setup'!$B$13*$G86))</f>
        <v/>
      </c>
      <c r="R86" s="17">
        <f>$H86*($N86*N('Plan setup'!$D$10)+$O86*N('Plan setup'!$D$11)+$P86*N('Plan setup'!$D$12)+$Q86*N('Plan setup'!$D$13))</f>
        <v/>
      </c>
      <c r="S86" s="17">
        <f>IF($C86=1,0,$U85)</f>
        <v/>
      </c>
      <c r="T86" s="17">
        <f>MAX(0,$R86-$S86)</f>
        <v/>
      </c>
      <c r="U86" s="17">
        <f>$S86+$T86</f>
        <v/>
      </c>
      <c r="V86" s="17">
        <f>MAX(0,$U86-$R86)</f>
        <v/>
      </c>
      <c r="W86">
        <f>IF($B86="","",IF($L86&lt;=0,"Tier 1","Tier "&amp;COUNTIF('Plan setup'!$B$10:$B$13,"&lt;="&amp;$M86)))</f>
        <v/>
      </c>
      <c r="X86" s="16">
        <f>IF($L86&gt;0,$R86/$L86,0)</f>
        <v/>
      </c>
    </row>
    <row r="87">
      <c r="A87">
        <f>INT((ROW()-2)/12)+1</f>
        <v/>
      </c>
      <c r="B87">
        <f>IF(INDEX('Plan setup'!$A$25:$A$34,$A87)="","",INDEX('Plan setup'!$A$25:$A$34,$A87))</f>
        <v/>
      </c>
      <c r="C87">
        <f>MOD(ROW()-2,12)+1</f>
        <v/>
      </c>
      <c r="D87" s="24">
        <f>EDATE('Plan setup'!$B$3,$C87-1)</f>
        <v/>
      </c>
      <c r="E87" s="24">
        <f>EDATE('Plan setup'!$B$3,$C87)-1</f>
        <v/>
      </c>
      <c r="F87">
        <f>$B87&amp;"|"&amp;$C87</f>
        <v/>
      </c>
      <c r="G87" s="17">
        <f>IF($B87="",0,IFERROR(INDEX('Plan setup'!$C$25:$C$34,$A87)*1,0))</f>
        <v/>
      </c>
      <c r="H87" s="16">
        <f>IF($B87="",0,IFERROR(INDEX('Plan setup'!$E$25:$E$34,$A87)*1,0))</f>
        <v/>
      </c>
      <c r="I87" s="17">
        <f>IF($B87="",0,SUMIFS(Deals!$N$2:$N$301,Deals!$F$2:$F$301,$B87,Deals!$B$2:$B$301,"&gt;="&amp;$D87,Deals!$B$2:$B$301,"&lt;="&amp;$E87)+SUMIFS(Deals!$O$2:$O$301,Deals!$H$2:$H$301,$B87,Deals!$B$2:$B$301,"&gt;="&amp;$D87,Deals!$B$2:$B$301,"&lt;="&amp;$E87))</f>
        <v/>
      </c>
      <c r="J87" s="17">
        <f>IF($B87="",0,SUMIFS(Deals!$N$2:$N$301,Deals!$F$2:$F$301,$B87,Deals!$Q$2:$Q$301,"&gt;="&amp;$D87,Deals!$Q$2:$Q$301,"&lt;="&amp;$E87)+SUMIFS(Deals!$O$2:$O$301,Deals!$H$2:$H$301,$B87,Deals!$Q$2:$Q$301,"&gt;="&amp;$D87,Deals!$Q$2:$Q$301,"&lt;="&amp;$E87))</f>
        <v/>
      </c>
      <c r="K87" s="17">
        <f>$I87-$J87</f>
        <v/>
      </c>
      <c r="L87" s="17">
        <f>IF($C87=1,$K87,$L86+$K87)</f>
        <v/>
      </c>
      <c r="M87" s="25">
        <f>IF($G87&gt;0,$L87/$G87,0)</f>
        <v/>
      </c>
      <c r="N87" s="17">
        <f>IF('Plan setup'!$B$10="",0,MAX(0,MIN(MAX($L87,0),IF('Plan setup'!$C$10="",9E+15,'Plan setup'!$C$10*$G87))-'Plan setup'!$B$10*$G87))</f>
        <v/>
      </c>
      <c r="O87" s="17">
        <f>IF('Plan setup'!$B$11="",0,MAX(0,MIN(MAX($L87,0),IF('Plan setup'!$C$11="",9E+15,'Plan setup'!$C$11*$G87))-'Plan setup'!$B$11*$G87))</f>
        <v/>
      </c>
      <c r="P87" s="17">
        <f>IF('Plan setup'!$B$12="",0,MAX(0,MIN(MAX($L87,0),IF('Plan setup'!$C$12="",9E+15,'Plan setup'!$C$12*$G87))-'Plan setup'!$B$12*$G87))</f>
        <v/>
      </c>
      <c r="Q87" s="17">
        <f>IF('Plan setup'!$B$13="",0,MAX(0,MIN(MAX($L87,0),IF('Plan setup'!$C$13="",9E+15,'Plan setup'!$C$13*$G87))-'Plan setup'!$B$13*$G87))</f>
        <v/>
      </c>
      <c r="R87" s="17">
        <f>$H87*($N87*N('Plan setup'!$D$10)+$O87*N('Plan setup'!$D$11)+$P87*N('Plan setup'!$D$12)+$Q87*N('Plan setup'!$D$13))</f>
        <v/>
      </c>
      <c r="S87" s="17">
        <f>IF($C87=1,0,$U86)</f>
        <v/>
      </c>
      <c r="T87" s="17">
        <f>MAX(0,$R87-$S87)</f>
        <v/>
      </c>
      <c r="U87" s="17">
        <f>$S87+$T87</f>
        <v/>
      </c>
      <c r="V87" s="17">
        <f>MAX(0,$U87-$R87)</f>
        <v/>
      </c>
      <c r="W87">
        <f>IF($B87="","",IF($L87&lt;=0,"Tier 1","Tier "&amp;COUNTIF('Plan setup'!$B$10:$B$13,"&lt;="&amp;$M87)))</f>
        <v/>
      </c>
      <c r="X87" s="16">
        <f>IF($L87&gt;0,$R87/$L87,0)</f>
        <v/>
      </c>
    </row>
    <row r="88">
      <c r="A88">
        <f>INT((ROW()-2)/12)+1</f>
        <v/>
      </c>
      <c r="B88">
        <f>IF(INDEX('Plan setup'!$A$25:$A$34,$A88)="","",INDEX('Plan setup'!$A$25:$A$34,$A88))</f>
        <v/>
      </c>
      <c r="C88">
        <f>MOD(ROW()-2,12)+1</f>
        <v/>
      </c>
      <c r="D88" s="24">
        <f>EDATE('Plan setup'!$B$3,$C88-1)</f>
        <v/>
      </c>
      <c r="E88" s="24">
        <f>EDATE('Plan setup'!$B$3,$C88)-1</f>
        <v/>
      </c>
      <c r="F88">
        <f>$B88&amp;"|"&amp;$C88</f>
        <v/>
      </c>
      <c r="G88" s="17">
        <f>IF($B88="",0,IFERROR(INDEX('Plan setup'!$C$25:$C$34,$A88)*1,0))</f>
        <v/>
      </c>
      <c r="H88" s="16">
        <f>IF($B88="",0,IFERROR(INDEX('Plan setup'!$E$25:$E$34,$A88)*1,0))</f>
        <v/>
      </c>
      <c r="I88" s="17">
        <f>IF($B88="",0,SUMIFS(Deals!$N$2:$N$301,Deals!$F$2:$F$301,$B88,Deals!$B$2:$B$301,"&gt;="&amp;$D88,Deals!$B$2:$B$301,"&lt;="&amp;$E88)+SUMIFS(Deals!$O$2:$O$301,Deals!$H$2:$H$301,$B88,Deals!$B$2:$B$301,"&gt;="&amp;$D88,Deals!$B$2:$B$301,"&lt;="&amp;$E88))</f>
        <v/>
      </c>
      <c r="J88" s="17">
        <f>IF($B88="",0,SUMIFS(Deals!$N$2:$N$301,Deals!$F$2:$F$301,$B88,Deals!$Q$2:$Q$301,"&gt;="&amp;$D88,Deals!$Q$2:$Q$301,"&lt;="&amp;$E88)+SUMIFS(Deals!$O$2:$O$301,Deals!$H$2:$H$301,$B88,Deals!$Q$2:$Q$301,"&gt;="&amp;$D88,Deals!$Q$2:$Q$301,"&lt;="&amp;$E88))</f>
        <v/>
      </c>
      <c r="K88" s="17">
        <f>$I88-$J88</f>
        <v/>
      </c>
      <c r="L88" s="17">
        <f>IF($C88=1,$K88,$L87+$K88)</f>
        <v/>
      </c>
      <c r="M88" s="25">
        <f>IF($G88&gt;0,$L88/$G88,0)</f>
        <v/>
      </c>
      <c r="N88" s="17">
        <f>IF('Plan setup'!$B$10="",0,MAX(0,MIN(MAX($L88,0),IF('Plan setup'!$C$10="",9E+15,'Plan setup'!$C$10*$G88))-'Plan setup'!$B$10*$G88))</f>
        <v/>
      </c>
      <c r="O88" s="17">
        <f>IF('Plan setup'!$B$11="",0,MAX(0,MIN(MAX($L88,0),IF('Plan setup'!$C$11="",9E+15,'Plan setup'!$C$11*$G88))-'Plan setup'!$B$11*$G88))</f>
        <v/>
      </c>
      <c r="P88" s="17">
        <f>IF('Plan setup'!$B$12="",0,MAX(0,MIN(MAX($L88,0),IF('Plan setup'!$C$12="",9E+15,'Plan setup'!$C$12*$G88))-'Plan setup'!$B$12*$G88))</f>
        <v/>
      </c>
      <c r="Q88" s="17">
        <f>IF('Plan setup'!$B$13="",0,MAX(0,MIN(MAX($L88,0),IF('Plan setup'!$C$13="",9E+15,'Plan setup'!$C$13*$G88))-'Plan setup'!$B$13*$G88))</f>
        <v/>
      </c>
      <c r="R88" s="17">
        <f>$H88*($N88*N('Plan setup'!$D$10)+$O88*N('Plan setup'!$D$11)+$P88*N('Plan setup'!$D$12)+$Q88*N('Plan setup'!$D$13))</f>
        <v/>
      </c>
      <c r="S88" s="17">
        <f>IF($C88=1,0,$U87)</f>
        <v/>
      </c>
      <c r="T88" s="17">
        <f>MAX(0,$R88-$S88)</f>
        <v/>
      </c>
      <c r="U88" s="17">
        <f>$S88+$T88</f>
        <v/>
      </c>
      <c r="V88" s="17">
        <f>MAX(0,$U88-$R88)</f>
        <v/>
      </c>
      <c r="W88">
        <f>IF($B88="","",IF($L88&lt;=0,"Tier 1","Tier "&amp;COUNTIF('Plan setup'!$B$10:$B$13,"&lt;="&amp;$M88)))</f>
        <v/>
      </c>
      <c r="X88" s="16">
        <f>IF($L88&gt;0,$R88/$L88,0)</f>
        <v/>
      </c>
    </row>
    <row r="89">
      <c r="A89">
        <f>INT((ROW()-2)/12)+1</f>
        <v/>
      </c>
      <c r="B89">
        <f>IF(INDEX('Plan setup'!$A$25:$A$34,$A89)="","",INDEX('Plan setup'!$A$25:$A$34,$A89))</f>
        <v/>
      </c>
      <c r="C89">
        <f>MOD(ROW()-2,12)+1</f>
        <v/>
      </c>
      <c r="D89" s="24">
        <f>EDATE('Plan setup'!$B$3,$C89-1)</f>
        <v/>
      </c>
      <c r="E89" s="24">
        <f>EDATE('Plan setup'!$B$3,$C89)-1</f>
        <v/>
      </c>
      <c r="F89">
        <f>$B89&amp;"|"&amp;$C89</f>
        <v/>
      </c>
      <c r="G89" s="17">
        <f>IF($B89="",0,IFERROR(INDEX('Plan setup'!$C$25:$C$34,$A89)*1,0))</f>
        <v/>
      </c>
      <c r="H89" s="16">
        <f>IF($B89="",0,IFERROR(INDEX('Plan setup'!$E$25:$E$34,$A89)*1,0))</f>
        <v/>
      </c>
      <c r="I89" s="17">
        <f>IF($B89="",0,SUMIFS(Deals!$N$2:$N$301,Deals!$F$2:$F$301,$B89,Deals!$B$2:$B$301,"&gt;="&amp;$D89,Deals!$B$2:$B$301,"&lt;="&amp;$E89)+SUMIFS(Deals!$O$2:$O$301,Deals!$H$2:$H$301,$B89,Deals!$B$2:$B$301,"&gt;="&amp;$D89,Deals!$B$2:$B$301,"&lt;="&amp;$E89))</f>
        <v/>
      </c>
      <c r="J89" s="17">
        <f>IF($B89="",0,SUMIFS(Deals!$N$2:$N$301,Deals!$F$2:$F$301,$B89,Deals!$Q$2:$Q$301,"&gt;="&amp;$D89,Deals!$Q$2:$Q$301,"&lt;="&amp;$E89)+SUMIFS(Deals!$O$2:$O$301,Deals!$H$2:$H$301,$B89,Deals!$Q$2:$Q$301,"&gt;="&amp;$D89,Deals!$Q$2:$Q$301,"&lt;="&amp;$E89))</f>
        <v/>
      </c>
      <c r="K89" s="17">
        <f>$I89-$J89</f>
        <v/>
      </c>
      <c r="L89" s="17">
        <f>IF($C89=1,$K89,$L88+$K89)</f>
        <v/>
      </c>
      <c r="M89" s="25">
        <f>IF($G89&gt;0,$L89/$G89,0)</f>
        <v/>
      </c>
      <c r="N89" s="17">
        <f>IF('Plan setup'!$B$10="",0,MAX(0,MIN(MAX($L89,0),IF('Plan setup'!$C$10="",9E+15,'Plan setup'!$C$10*$G89))-'Plan setup'!$B$10*$G89))</f>
        <v/>
      </c>
      <c r="O89" s="17">
        <f>IF('Plan setup'!$B$11="",0,MAX(0,MIN(MAX($L89,0),IF('Plan setup'!$C$11="",9E+15,'Plan setup'!$C$11*$G89))-'Plan setup'!$B$11*$G89))</f>
        <v/>
      </c>
      <c r="P89" s="17">
        <f>IF('Plan setup'!$B$12="",0,MAX(0,MIN(MAX($L89,0),IF('Plan setup'!$C$12="",9E+15,'Plan setup'!$C$12*$G89))-'Plan setup'!$B$12*$G89))</f>
        <v/>
      </c>
      <c r="Q89" s="17">
        <f>IF('Plan setup'!$B$13="",0,MAX(0,MIN(MAX($L89,0),IF('Plan setup'!$C$13="",9E+15,'Plan setup'!$C$13*$G89))-'Plan setup'!$B$13*$G89))</f>
        <v/>
      </c>
      <c r="R89" s="17">
        <f>$H89*($N89*N('Plan setup'!$D$10)+$O89*N('Plan setup'!$D$11)+$P89*N('Plan setup'!$D$12)+$Q89*N('Plan setup'!$D$13))</f>
        <v/>
      </c>
      <c r="S89" s="17">
        <f>IF($C89=1,0,$U88)</f>
        <v/>
      </c>
      <c r="T89" s="17">
        <f>MAX(0,$R89-$S89)</f>
        <v/>
      </c>
      <c r="U89" s="17">
        <f>$S89+$T89</f>
        <v/>
      </c>
      <c r="V89" s="17">
        <f>MAX(0,$U89-$R89)</f>
        <v/>
      </c>
      <c r="W89">
        <f>IF($B89="","",IF($L89&lt;=0,"Tier 1","Tier "&amp;COUNTIF('Plan setup'!$B$10:$B$13,"&lt;="&amp;$M89)))</f>
        <v/>
      </c>
      <c r="X89" s="16">
        <f>IF($L89&gt;0,$R89/$L89,0)</f>
        <v/>
      </c>
    </row>
    <row r="90">
      <c r="A90">
        <f>INT((ROW()-2)/12)+1</f>
        <v/>
      </c>
      <c r="B90">
        <f>IF(INDEX('Plan setup'!$A$25:$A$34,$A90)="","",INDEX('Plan setup'!$A$25:$A$34,$A90))</f>
        <v/>
      </c>
      <c r="C90">
        <f>MOD(ROW()-2,12)+1</f>
        <v/>
      </c>
      <c r="D90" s="24">
        <f>EDATE('Plan setup'!$B$3,$C90-1)</f>
        <v/>
      </c>
      <c r="E90" s="24">
        <f>EDATE('Plan setup'!$B$3,$C90)-1</f>
        <v/>
      </c>
      <c r="F90">
        <f>$B90&amp;"|"&amp;$C90</f>
        <v/>
      </c>
      <c r="G90" s="17">
        <f>IF($B90="",0,IFERROR(INDEX('Plan setup'!$C$25:$C$34,$A90)*1,0))</f>
        <v/>
      </c>
      <c r="H90" s="16">
        <f>IF($B90="",0,IFERROR(INDEX('Plan setup'!$E$25:$E$34,$A90)*1,0))</f>
        <v/>
      </c>
      <c r="I90" s="17">
        <f>IF($B90="",0,SUMIFS(Deals!$N$2:$N$301,Deals!$F$2:$F$301,$B90,Deals!$B$2:$B$301,"&gt;="&amp;$D90,Deals!$B$2:$B$301,"&lt;="&amp;$E90)+SUMIFS(Deals!$O$2:$O$301,Deals!$H$2:$H$301,$B90,Deals!$B$2:$B$301,"&gt;="&amp;$D90,Deals!$B$2:$B$301,"&lt;="&amp;$E90))</f>
        <v/>
      </c>
      <c r="J90" s="17">
        <f>IF($B90="",0,SUMIFS(Deals!$N$2:$N$301,Deals!$F$2:$F$301,$B90,Deals!$Q$2:$Q$301,"&gt;="&amp;$D90,Deals!$Q$2:$Q$301,"&lt;="&amp;$E90)+SUMIFS(Deals!$O$2:$O$301,Deals!$H$2:$H$301,$B90,Deals!$Q$2:$Q$301,"&gt;="&amp;$D90,Deals!$Q$2:$Q$301,"&lt;="&amp;$E90))</f>
        <v/>
      </c>
      <c r="K90" s="17">
        <f>$I90-$J90</f>
        <v/>
      </c>
      <c r="L90" s="17">
        <f>IF($C90=1,$K90,$L89+$K90)</f>
        <v/>
      </c>
      <c r="M90" s="25">
        <f>IF($G90&gt;0,$L90/$G90,0)</f>
        <v/>
      </c>
      <c r="N90" s="17">
        <f>IF('Plan setup'!$B$10="",0,MAX(0,MIN(MAX($L90,0),IF('Plan setup'!$C$10="",9E+15,'Plan setup'!$C$10*$G90))-'Plan setup'!$B$10*$G90))</f>
        <v/>
      </c>
      <c r="O90" s="17">
        <f>IF('Plan setup'!$B$11="",0,MAX(0,MIN(MAX($L90,0),IF('Plan setup'!$C$11="",9E+15,'Plan setup'!$C$11*$G90))-'Plan setup'!$B$11*$G90))</f>
        <v/>
      </c>
      <c r="P90" s="17">
        <f>IF('Plan setup'!$B$12="",0,MAX(0,MIN(MAX($L90,0),IF('Plan setup'!$C$12="",9E+15,'Plan setup'!$C$12*$G90))-'Plan setup'!$B$12*$G90))</f>
        <v/>
      </c>
      <c r="Q90" s="17">
        <f>IF('Plan setup'!$B$13="",0,MAX(0,MIN(MAX($L90,0),IF('Plan setup'!$C$13="",9E+15,'Plan setup'!$C$13*$G90))-'Plan setup'!$B$13*$G90))</f>
        <v/>
      </c>
      <c r="R90" s="17">
        <f>$H90*($N90*N('Plan setup'!$D$10)+$O90*N('Plan setup'!$D$11)+$P90*N('Plan setup'!$D$12)+$Q90*N('Plan setup'!$D$13))</f>
        <v/>
      </c>
      <c r="S90" s="17">
        <f>IF($C90=1,0,$U89)</f>
        <v/>
      </c>
      <c r="T90" s="17">
        <f>MAX(0,$R90-$S90)</f>
        <v/>
      </c>
      <c r="U90" s="17">
        <f>$S90+$T90</f>
        <v/>
      </c>
      <c r="V90" s="17">
        <f>MAX(0,$U90-$R90)</f>
        <v/>
      </c>
      <c r="W90">
        <f>IF($B90="","",IF($L90&lt;=0,"Tier 1","Tier "&amp;COUNTIF('Plan setup'!$B$10:$B$13,"&lt;="&amp;$M90)))</f>
        <v/>
      </c>
      <c r="X90" s="16">
        <f>IF($L90&gt;0,$R90/$L90,0)</f>
        <v/>
      </c>
    </row>
    <row r="91">
      <c r="A91">
        <f>INT((ROW()-2)/12)+1</f>
        <v/>
      </c>
      <c r="B91">
        <f>IF(INDEX('Plan setup'!$A$25:$A$34,$A91)="","",INDEX('Plan setup'!$A$25:$A$34,$A91))</f>
        <v/>
      </c>
      <c r="C91">
        <f>MOD(ROW()-2,12)+1</f>
        <v/>
      </c>
      <c r="D91" s="24">
        <f>EDATE('Plan setup'!$B$3,$C91-1)</f>
        <v/>
      </c>
      <c r="E91" s="24">
        <f>EDATE('Plan setup'!$B$3,$C91)-1</f>
        <v/>
      </c>
      <c r="F91">
        <f>$B91&amp;"|"&amp;$C91</f>
        <v/>
      </c>
      <c r="G91" s="17">
        <f>IF($B91="",0,IFERROR(INDEX('Plan setup'!$C$25:$C$34,$A91)*1,0))</f>
        <v/>
      </c>
      <c r="H91" s="16">
        <f>IF($B91="",0,IFERROR(INDEX('Plan setup'!$E$25:$E$34,$A91)*1,0))</f>
        <v/>
      </c>
      <c r="I91" s="17">
        <f>IF($B91="",0,SUMIFS(Deals!$N$2:$N$301,Deals!$F$2:$F$301,$B91,Deals!$B$2:$B$301,"&gt;="&amp;$D91,Deals!$B$2:$B$301,"&lt;="&amp;$E91)+SUMIFS(Deals!$O$2:$O$301,Deals!$H$2:$H$301,$B91,Deals!$B$2:$B$301,"&gt;="&amp;$D91,Deals!$B$2:$B$301,"&lt;="&amp;$E91))</f>
        <v/>
      </c>
      <c r="J91" s="17">
        <f>IF($B91="",0,SUMIFS(Deals!$N$2:$N$301,Deals!$F$2:$F$301,$B91,Deals!$Q$2:$Q$301,"&gt;="&amp;$D91,Deals!$Q$2:$Q$301,"&lt;="&amp;$E91)+SUMIFS(Deals!$O$2:$O$301,Deals!$H$2:$H$301,$B91,Deals!$Q$2:$Q$301,"&gt;="&amp;$D91,Deals!$Q$2:$Q$301,"&lt;="&amp;$E91))</f>
        <v/>
      </c>
      <c r="K91" s="17">
        <f>$I91-$J91</f>
        <v/>
      </c>
      <c r="L91" s="17">
        <f>IF($C91=1,$K91,$L90+$K91)</f>
        <v/>
      </c>
      <c r="M91" s="25">
        <f>IF($G91&gt;0,$L91/$G91,0)</f>
        <v/>
      </c>
      <c r="N91" s="17">
        <f>IF('Plan setup'!$B$10="",0,MAX(0,MIN(MAX($L91,0),IF('Plan setup'!$C$10="",9E+15,'Plan setup'!$C$10*$G91))-'Plan setup'!$B$10*$G91))</f>
        <v/>
      </c>
      <c r="O91" s="17">
        <f>IF('Plan setup'!$B$11="",0,MAX(0,MIN(MAX($L91,0),IF('Plan setup'!$C$11="",9E+15,'Plan setup'!$C$11*$G91))-'Plan setup'!$B$11*$G91))</f>
        <v/>
      </c>
      <c r="P91" s="17">
        <f>IF('Plan setup'!$B$12="",0,MAX(0,MIN(MAX($L91,0),IF('Plan setup'!$C$12="",9E+15,'Plan setup'!$C$12*$G91))-'Plan setup'!$B$12*$G91))</f>
        <v/>
      </c>
      <c r="Q91" s="17">
        <f>IF('Plan setup'!$B$13="",0,MAX(0,MIN(MAX($L91,0),IF('Plan setup'!$C$13="",9E+15,'Plan setup'!$C$13*$G91))-'Plan setup'!$B$13*$G91))</f>
        <v/>
      </c>
      <c r="R91" s="17">
        <f>$H91*($N91*N('Plan setup'!$D$10)+$O91*N('Plan setup'!$D$11)+$P91*N('Plan setup'!$D$12)+$Q91*N('Plan setup'!$D$13))</f>
        <v/>
      </c>
      <c r="S91" s="17">
        <f>IF($C91=1,0,$U90)</f>
        <v/>
      </c>
      <c r="T91" s="17">
        <f>MAX(0,$R91-$S91)</f>
        <v/>
      </c>
      <c r="U91" s="17">
        <f>$S91+$T91</f>
        <v/>
      </c>
      <c r="V91" s="17">
        <f>MAX(0,$U91-$R91)</f>
        <v/>
      </c>
      <c r="W91">
        <f>IF($B91="","",IF($L91&lt;=0,"Tier 1","Tier "&amp;COUNTIF('Plan setup'!$B$10:$B$13,"&lt;="&amp;$M91)))</f>
        <v/>
      </c>
      <c r="X91" s="16">
        <f>IF($L91&gt;0,$R91/$L91,0)</f>
        <v/>
      </c>
    </row>
    <row r="92">
      <c r="A92">
        <f>INT((ROW()-2)/12)+1</f>
        <v/>
      </c>
      <c r="B92">
        <f>IF(INDEX('Plan setup'!$A$25:$A$34,$A92)="","",INDEX('Plan setup'!$A$25:$A$34,$A92))</f>
        <v/>
      </c>
      <c r="C92">
        <f>MOD(ROW()-2,12)+1</f>
        <v/>
      </c>
      <c r="D92" s="24">
        <f>EDATE('Plan setup'!$B$3,$C92-1)</f>
        <v/>
      </c>
      <c r="E92" s="24">
        <f>EDATE('Plan setup'!$B$3,$C92)-1</f>
        <v/>
      </c>
      <c r="F92">
        <f>$B92&amp;"|"&amp;$C92</f>
        <v/>
      </c>
      <c r="G92" s="17">
        <f>IF($B92="",0,IFERROR(INDEX('Plan setup'!$C$25:$C$34,$A92)*1,0))</f>
        <v/>
      </c>
      <c r="H92" s="16">
        <f>IF($B92="",0,IFERROR(INDEX('Plan setup'!$E$25:$E$34,$A92)*1,0))</f>
        <v/>
      </c>
      <c r="I92" s="17">
        <f>IF($B92="",0,SUMIFS(Deals!$N$2:$N$301,Deals!$F$2:$F$301,$B92,Deals!$B$2:$B$301,"&gt;="&amp;$D92,Deals!$B$2:$B$301,"&lt;="&amp;$E92)+SUMIFS(Deals!$O$2:$O$301,Deals!$H$2:$H$301,$B92,Deals!$B$2:$B$301,"&gt;="&amp;$D92,Deals!$B$2:$B$301,"&lt;="&amp;$E92))</f>
        <v/>
      </c>
      <c r="J92" s="17">
        <f>IF($B92="",0,SUMIFS(Deals!$N$2:$N$301,Deals!$F$2:$F$301,$B92,Deals!$Q$2:$Q$301,"&gt;="&amp;$D92,Deals!$Q$2:$Q$301,"&lt;="&amp;$E92)+SUMIFS(Deals!$O$2:$O$301,Deals!$H$2:$H$301,$B92,Deals!$Q$2:$Q$301,"&gt;="&amp;$D92,Deals!$Q$2:$Q$301,"&lt;="&amp;$E92))</f>
        <v/>
      </c>
      <c r="K92" s="17">
        <f>$I92-$J92</f>
        <v/>
      </c>
      <c r="L92" s="17">
        <f>IF($C92=1,$K92,$L91+$K92)</f>
        <v/>
      </c>
      <c r="M92" s="25">
        <f>IF($G92&gt;0,$L92/$G92,0)</f>
        <v/>
      </c>
      <c r="N92" s="17">
        <f>IF('Plan setup'!$B$10="",0,MAX(0,MIN(MAX($L92,0),IF('Plan setup'!$C$10="",9E+15,'Plan setup'!$C$10*$G92))-'Plan setup'!$B$10*$G92))</f>
        <v/>
      </c>
      <c r="O92" s="17">
        <f>IF('Plan setup'!$B$11="",0,MAX(0,MIN(MAX($L92,0),IF('Plan setup'!$C$11="",9E+15,'Plan setup'!$C$11*$G92))-'Plan setup'!$B$11*$G92))</f>
        <v/>
      </c>
      <c r="P92" s="17">
        <f>IF('Plan setup'!$B$12="",0,MAX(0,MIN(MAX($L92,0),IF('Plan setup'!$C$12="",9E+15,'Plan setup'!$C$12*$G92))-'Plan setup'!$B$12*$G92))</f>
        <v/>
      </c>
      <c r="Q92" s="17">
        <f>IF('Plan setup'!$B$13="",0,MAX(0,MIN(MAX($L92,0),IF('Plan setup'!$C$13="",9E+15,'Plan setup'!$C$13*$G92))-'Plan setup'!$B$13*$G92))</f>
        <v/>
      </c>
      <c r="R92" s="17">
        <f>$H92*($N92*N('Plan setup'!$D$10)+$O92*N('Plan setup'!$D$11)+$P92*N('Plan setup'!$D$12)+$Q92*N('Plan setup'!$D$13))</f>
        <v/>
      </c>
      <c r="S92" s="17">
        <f>IF($C92=1,0,$U91)</f>
        <v/>
      </c>
      <c r="T92" s="17">
        <f>MAX(0,$R92-$S92)</f>
        <v/>
      </c>
      <c r="U92" s="17">
        <f>$S92+$T92</f>
        <v/>
      </c>
      <c r="V92" s="17">
        <f>MAX(0,$U92-$R92)</f>
        <v/>
      </c>
      <c r="W92">
        <f>IF($B92="","",IF($L92&lt;=0,"Tier 1","Tier "&amp;COUNTIF('Plan setup'!$B$10:$B$13,"&lt;="&amp;$M92)))</f>
        <v/>
      </c>
      <c r="X92" s="16">
        <f>IF($L92&gt;0,$R92/$L92,0)</f>
        <v/>
      </c>
    </row>
    <row r="93">
      <c r="A93">
        <f>INT((ROW()-2)/12)+1</f>
        <v/>
      </c>
      <c r="B93">
        <f>IF(INDEX('Plan setup'!$A$25:$A$34,$A93)="","",INDEX('Plan setup'!$A$25:$A$34,$A93))</f>
        <v/>
      </c>
      <c r="C93">
        <f>MOD(ROW()-2,12)+1</f>
        <v/>
      </c>
      <c r="D93" s="24">
        <f>EDATE('Plan setup'!$B$3,$C93-1)</f>
        <v/>
      </c>
      <c r="E93" s="24">
        <f>EDATE('Plan setup'!$B$3,$C93)-1</f>
        <v/>
      </c>
      <c r="F93">
        <f>$B93&amp;"|"&amp;$C93</f>
        <v/>
      </c>
      <c r="G93" s="17">
        <f>IF($B93="",0,IFERROR(INDEX('Plan setup'!$C$25:$C$34,$A93)*1,0))</f>
        <v/>
      </c>
      <c r="H93" s="16">
        <f>IF($B93="",0,IFERROR(INDEX('Plan setup'!$E$25:$E$34,$A93)*1,0))</f>
        <v/>
      </c>
      <c r="I93" s="17">
        <f>IF($B93="",0,SUMIFS(Deals!$N$2:$N$301,Deals!$F$2:$F$301,$B93,Deals!$B$2:$B$301,"&gt;="&amp;$D93,Deals!$B$2:$B$301,"&lt;="&amp;$E93)+SUMIFS(Deals!$O$2:$O$301,Deals!$H$2:$H$301,$B93,Deals!$B$2:$B$301,"&gt;="&amp;$D93,Deals!$B$2:$B$301,"&lt;="&amp;$E93))</f>
        <v/>
      </c>
      <c r="J93" s="17">
        <f>IF($B93="",0,SUMIFS(Deals!$N$2:$N$301,Deals!$F$2:$F$301,$B93,Deals!$Q$2:$Q$301,"&gt;="&amp;$D93,Deals!$Q$2:$Q$301,"&lt;="&amp;$E93)+SUMIFS(Deals!$O$2:$O$301,Deals!$H$2:$H$301,$B93,Deals!$Q$2:$Q$301,"&gt;="&amp;$D93,Deals!$Q$2:$Q$301,"&lt;="&amp;$E93))</f>
        <v/>
      </c>
      <c r="K93" s="17">
        <f>$I93-$J93</f>
        <v/>
      </c>
      <c r="L93" s="17">
        <f>IF($C93=1,$K93,$L92+$K93)</f>
        <v/>
      </c>
      <c r="M93" s="25">
        <f>IF($G93&gt;0,$L93/$G93,0)</f>
        <v/>
      </c>
      <c r="N93" s="17">
        <f>IF('Plan setup'!$B$10="",0,MAX(0,MIN(MAX($L93,0),IF('Plan setup'!$C$10="",9E+15,'Plan setup'!$C$10*$G93))-'Plan setup'!$B$10*$G93))</f>
        <v/>
      </c>
      <c r="O93" s="17">
        <f>IF('Plan setup'!$B$11="",0,MAX(0,MIN(MAX($L93,0),IF('Plan setup'!$C$11="",9E+15,'Plan setup'!$C$11*$G93))-'Plan setup'!$B$11*$G93))</f>
        <v/>
      </c>
      <c r="P93" s="17">
        <f>IF('Plan setup'!$B$12="",0,MAX(0,MIN(MAX($L93,0),IF('Plan setup'!$C$12="",9E+15,'Plan setup'!$C$12*$G93))-'Plan setup'!$B$12*$G93))</f>
        <v/>
      </c>
      <c r="Q93" s="17">
        <f>IF('Plan setup'!$B$13="",0,MAX(0,MIN(MAX($L93,0),IF('Plan setup'!$C$13="",9E+15,'Plan setup'!$C$13*$G93))-'Plan setup'!$B$13*$G93))</f>
        <v/>
      </c>
      <c r="R93" s="17">
        <f>$H93*($N93*N('Plan setup'!$D$10)+$O93*N('Plan setup'!$D$11)+$P93*N('Plan setup'!$D$12)+$Q93*N('Plan setup'!$D$13))</f>
        <v/>
      </c>
      <c r="S93" s="17">
        <f>IF($C93=1,0,$U92)</f>
        <v/>
      </c>
      <c r="T93" s="17">
        <f>MAX(0,$R93-$S93)</f>
        <v/>
      </c>
      <c r="U93" s="17">
        <f>$S93+$T93</f>
        <v/>
      </c>
      <c r="V93" s="17">
        <f>MAX(0,$U93-$R93)</f>
        <v/>
      </c>
      <c r="W93">
        <f>IF($B93="","",IF($L93&lt;=0,"Tier 1","Tier "&amp;COUNTIF('Plan setup'!$B$10:$B$13,"&lt;="&amp;$M93)))</f>
        <v/>
      </c>
      <c r="X93" s="16">
        <f>IF($L93&gt;0,$R93/$L93,0)</f>
        <v/>
      </c>
    </row>
    <row r="94">
      <c r="A94">
        <f>INT((ROW()-2)/12)+1</f>
        <v/>
      </c>
      <c r="B94">
        <f>IF(INDEX('Plan setup'!$A$25:$A$34,$A94)="","",INDEX('Plan setup'!$A$25:$A$34,$A94))</f>
        <v/>
      </c>
      <c r="C94">
        <f>MOD(ROW()-2,12)+1</f>
        <v/>
      </c>
      <c r="D94" s="24">
        <f>EDATE('Plan setup'!$B$3,$C94-1)</f>
        <v/>
      </c>
      <c r="E94" s="24">
        <f>EDATE('Plan setup'!$B$3,$C94)-1</f>
        <v/>
      </c>
      <c r="F94">
        <f>$B94&amp;"|"&amp;$C94</f>
        <v/>
      </c>
      <c r="G94" s="17">
        <f>IF($B94="",0,IFERROR(INDEX('Plan setup'!$C$25:$C$34,$A94)*1,0))</f>
        <v/>
      </c>
      <c r="H94" s="16">
        <f>IF($B94="",0,IFERROR(INDEX('Plan setup'!$E$25:$E$34,$A94)*1,0))</f>
        <v/>
      </c>
      <c r="I94" s="17">
        <f>IF($B94="",0,SUMIFS(Deals!$N$2:$N$301,Deals!$F$2:$F$301,$B94,Deals!$B$2:$B$301,"&gt;="&amp;$D94,Deals!$B$2:$B$301,"&lt;="&amp;$E94)+SUMIFS(Deals!$O$2:$O$301,Deals!$H$2:$H$301,$B94,Deals!$B$2:$B$301,"&gt;="&amp;$D94,Deals!$B$2:$B$301,"&lt;="&amp;$E94))</f>
        <v/>
      </c>
      <c r="J94" s="17">
        <f>IF($B94="",0,SUMIFS(Deals!$N$2:$N$301,Deals!$F$2:$F$301,$B94,Deals!$Q$2:$Q$301,"&gt;="&amp;$D94,Deals!$Q$2:$Q$301,"&lt;="&amp;$E94)+SUMIFS(Deals!$O$2:$O$301,Deals!$H$2:$H$301,$B94,Deals!$Q$2:$Q$301,"&gt;="&amp;$D94,Deals!$Q$2:$Q$301,"&lt;="&amp;$E94))</f>
        <v/>
      </c>
      <c r="K94" s="17">
        <f>$I94-$J94</f>
        <v/>
      </c>
      <c r="L94" s="17">
        <f>IF($C94=1,$K94,$L93+$K94)</f>
        <v/>
      </c>
      <c r="M94" s="25">
        <f>IF($G94&gt;0,$L94/$G94,0)</f>
        <v/>
      </c>
      <c r="N94" s="17">
        <f>IF('Plan setup'!$B$10="",0,MAX(0,MIN(MAX($L94,0),IF('Plan setup'!$C$10="",9E+15,'Plan setup'!$C$10*$G94))-'Plan setup'!$B$10*$G94))</f>
        <v/>
      </c>
      <c r="O94" s="17">
        <f>IF('Plan setup'!$B$11="",0,MAX(0,MIN(MAX($L94,0),IF('Plan setup'!$C$11="",9E+15,'Plan setup'!$C$11*$G94))-'Plan setup'!$B$11*$G94))</f>
        <v/>
      </c>
      <c r="P94" s="17">
        <f>IF('Plan setup'!$B$12="",0,MAX(0,MIN(MAX($L94,0),IF('Plan setup'!$C$12="",9E+15,'Plan setup'!$C$12*$G94))-'Plan setup'!$B$12*$G94))</f>
        <v/>
      </c>
      <c r="Q94" s="17">
        <f>IF('Plan setup'!$B$13="",0,MAX(0,MIN(MAX($L94,0),IF('Plan setup'!$C$13="",9E+15,'Plan setup'!$C$13*$G94))-'Plan setup'!$B$13*$G94))</f>
        <v/>
      </c>
      <c r="R94" s="17">
        <f>$H94*($N94*N('Plan setup'!$D$10)+$O94*N('Plan setup'!$D$11)+$P94*N('Plan setup'!$D$12)+$Q94*N('Plan setup'!$D$13))</f>
        <v/>
      </c>
      <c r="S94" s="17">
        <f>IF($C94=1,0,$U93)</f>
        <v/>
      </c>
      <c r="T94" s="17">
        <f>MAX(0,$R94-$S94)</f>
        <v/>
      </c>
      <c r="U94" s="17">
        <f>$S94+$T94</f>
        <v/>
      </c>
      <c r="V94" s="17">
        <f>MAX(0,$U94-$R94)</f>
        <v/>
      </c>
      <c r="W94">
        <f>IF($B94="","",IF($L94&lt;=0,"Tier 1","Tier "&amp;COUNTIF('Plan setup'!$B$10:$B$13,"&lt;="&amp;$M94)))</f>
        <v/>
      </c>
      <c r="X94" s="16">
        <f>IF($L94&gt;0,$R94/$L94,0)</f>
        <v/>
      </c>
    </row>
    <row r="95">
      <c r="A95">
        <f>INT((ROW()-2)/12)+1</f>
        <v/>
      </c>
      <c r="B95">
        <f>IF(INDEX('Plan setup'!$A$25:$A$34,$A95)="","",INDEX('Plan setup'!$A$25:$A$34,$A95))</f>
        <v/>
      </c>
      <c r="C95">
        <f>MOD(ROW()-2,12)+1</f>
        <v/>
      </c>
      <c r="D95" s="24">
        <f>EDATE('Plan setup'!$B$3,$C95-1)</f>
        <v/>
      </c>
      <c r="E95" s="24">
        <f>EDATE('Plan setup'!$B$3,$C95)-1</f>
        <v/>
      </c>
      <c r="F95">
        <f>$B95&amp;"|"&amp;$C95</f>
        <v/>
      </c>
      <c r="G95" s="17">
        <f>IF($B95="",0,IFERROR(INDEX('Plan setup'!$C$25:$C$34,$A95)*1,0))</f>
        <v/>
      </c>
      <c r="H95" s="16">
        <f>IF($B95="",0,IFERROR(INDEX('Plan setup'!$E$25:$E$34,$A95)*1,0))</f>
        <v/>
      </c>
      <c r="I95" s="17">
        <f>IF($B95="",0,SUMIFS(Deals!$N$2:$N$301,Deals!$F$2:$F$301,$B95,Deals!$B$2:$B$301,"&gt;="&amp;$D95,Deals!$B$2:$B$301,"&lt;="&amp;$E95)+SUMIFS(Deals!$O$2:$O$301,Deals!$H$2:$H$301,$B95,Deals!$B$2:$B$301,"&gt;="&amp;$D95,Deals!$B$2:$B$301,"&lt;="&amp;$E95))</f>
        <v/>
      </c>
      <c r="J95" s="17">
        <f>IF($B95="",0,SUMIFS(Deals!$N$2:$N$301,Deals!$F$2:$F$301,$B95,Deals!$Q$2:$Q$301,"&gt;="&amp;$D95,Deals!$Q$2:$Q$301,"&lt;="&amp;$E95)+SUMIFS(Deals!$O$2:$O$301,Deals!$H$2:$H$301,$B95,Deals!$Q$2:$Q$301,"&gt;="&amp;$D95,Deals!$Q$2:$Q$301,"&lt;="&amp;$E95))</f>
        <v/>
      </c>
      <c r="K95" s="17">
        <f>$I95-$J95</f>
        <v/>
      </c>
      <c r="L95" s="17">
        <f>IF($C95=1,$K95,$L94+$K95)</f>
        <v/>
      </c>
      <c r="M95" s="25">
        <f>IF($G95&gt;0,$L95/$G95,0)</f>
        <v/>
      </c>
      <c r="N95" s="17">
        <f>IF('Plan setup'!$B$10="",0,MAX(0,MIN(MAX($L95,0),IF('Plan setup'!$C$10="",9E+15,'Plan setup'!$C$10*$G95))-'Plan setup'!$B$10*$G95))</f>
        <v/>
      </c>
      <c r="O95" s="17">
        <f>IF('Plan setup'!$B$11="",0,MAX(0,MIN(MAX($L95,0),IF('Plan setup'!$C$11="",9E+15,'Plan setup'!$C$11*$G95))-'Plan setup'!$B$11*$G95))</f>
        <v/>
      </c>
      <c r="P95" s="17">
        <f>IF('Plan setup'!$B$12="",0,MAX(0,MIN(MAX($L95,0),IF('Plan setup'!$C$12="",9E+15,'Plan setup'!$C$12*$G95))-'Plan setup'!$B$12*$G95))</f>
        <v/>
      </c>
      <c r="Q95" s="17">
        <f>IF('Plan setup'!$B$13="",0,MAX(0,MIN(MAX($L95,0),IF('Plan setup'!$C$13="",9E+15,'Plan setup'!$C$13*$G95))-'Plan setup'!$B$13*$G95))</f>
        <v/>
      </c>
      <c r="R95" s="17">
        <f>$H95*($N95*N('Plan setup'!$D$10)+$O95*N('Plan setup'!$D$11)+$P95*N('Plan setup'!$D$12)+$Q95*N('Plan setup'!$D$13))</f>
        <v/>
      </c>
      <c r="S95" s="17">
        <f>IF($C95=1,0,$U94)</f>
        <v/>
      </c>
      <c r="T95" s="17">
        <f>MAX(0,$R95-$S95)</f>
        <v/>
      </c>
      <c r="U95" s="17">
        <f>$S95+$T95</f>
        <v/>
      </c>
      <c r="V95" s="17">
        <f>MAX(0,$U95-$R95)</f>
        <v/>
      </c>
      <c r="W95">
        <f>IF($B95="","",IF($L95&lt;=0,"Tier 1","Tier "&amp;COUNTIF('Plan setup'!$B$10:$B$13,"&lt;="&amp;$M95)))</f>
        <v/>
      </c>
      <c r="X95" s="16">
        <f>IF($L95&gt;0,$R95/$L95,0)</f>
        <v/>
      </c>
    </row>
    <row r="96">
      <c r="A96">
        <f>INT((ROW()-2)/12)+1</f>
        <v/>
      </c>
      <c r="B96">
        <f>IF(INDEX('Plan setup'!$A$25:$A$34,$A96)="","",INDEX('Plan setup'!$A$25:$A$34,$A96))</f>
        <v/>
      </c>
      <c r="C96">
        <f>MOD(ROW()-2,12)+1</f>
        <v/>
      </c>
      <c r="D96" s="24">
        <f>EDATE('Plan setup'!$B$3,$C96-1)</f>
        <v/>
      </c>
      <c r="E96" s="24">
        <f>EDATE('Plan setup'!$B$3,$C96)-1</f>
        <v/>
      </c>
      <c r="F96">
        <f>$B96&amp;"|"&amp;$C96</f>
        <v/>
      </c>
      <c r="G96" s="17">
        <f>IF($B96="",0,IFERROR(INDEX('Plan setup'!$C$25:$C$34,$A96)*1,0))</f>
        <v/>
      </c>
      <c r="H96" s="16">
        <f>IF($B96="",0,IFERROR(INDEX('Plan setup'!$E$25:$E$34,$A96)*1,0))</f>
        <v/>
      </c>
      <c r="I96" s="17">
        <f>IF($B96="",0,SUMIFS(Deals!$N$2:$N$301,Deals!$F$2:$F$301,$B96,Deals!$B$2:$B$301,"&gt;="&amp;$D96,Deals!$B$2:$B$301,"&lt;="&amp;$E96)+SUMIFS(Deals!$O$2:$O$301,Deals!$H$2:$H$301,$B96,Deals!$B$2:$B$301,"&gt;="&amp;$D96,Deals!$B$2:$B$301,"&lt;="&amp;$E96))</f>
        <v/>
      </c>
      <c r="J96" s="17">
        <f>IF($B96="",0,SUMIFS(Deals!$N$2:$N$301,Deals!$F$2:$F$301,$B96,Deals!$Q$2:$Q$301,"&gt;="&amp;$D96,Deals!$Q$2:$Q$301,"&lt;="&amp;$E96)+SUMIFS(Deals!$O$2:$O$301,Deals!$H$2:$H$301,$B96,Deals!$Q$2:$Q$301,"&gt;="&amp;$D96,Deals!$Q$2:$Q$301,"&lt;="&amp;$E96))</f>
        <v/>
      </c>
      <c r="K96" s="17">
        <f>$I96-$J96</f>
        <v/>
      </c>
      <c r="L96" s="17">
        <f>IF($C96=1,$K96,$L95+$K96)</f>
        <v/>
      </c>
      <c r="M96" s="25">
        <f>IF($G96&gt;0,$L96/$G96,0)</f>
        <v/>
      </c>
      <c r="N96" s="17">
        <f>IF('Plan setup'!$B$10="",0,MAX(0,MIN(MAX($L96,0),IF('Plan setup'!$C$10="",9E+15,'Plan setup'!$C$10*$G96))-'Plan setup'!$B$10*$G96))</f>
        <v/>
      </c>
      <c r="O96" s="17">
        <f>IF('Plan setup'!$B$11="",0,MAX(0,MIN(MAX($L96,0),IF('Plan setup'!$C$11="",9E+15,'Plan setup'!$C$11*$G96))-'Plan setup'!$B$11*$G96))</f>
        <v/>
      </c>
      <c r="P96" s="17">
        <f>IF('Plan setup'!$B$12="",0,MAX(0,MIN(MAX($L96,0),IF('Plan setup'!$C$12="",9E+15,'Plan setup'!$C$12*$G96))-'Plan setup'!$B$12*$G96))</f>
        <v/>
      </c>
      <c r="Q96" s="17">
        <f>IF('Plan setup'!$B$13="",0,MAX(0,MIN(MAX($L96,0),IF('Plan setup'!$C$13="",9E+15,'Plan setup'!$C$13*$G96))-'Plan setup'!$B$13*$G96))</f>
        <v/>
      </c>
      <c r="R96" s="17">
        <f>$H96*($N96*N('Plan setup'!$D$10)+$O96*N('Plan setup'!$D$11)+$P96*N('Plan setup'!$D$12)+$Q96*N('Plan setup'!$D$13))</f>
        <v/>
      </c>
      <c r="S96" s="17">
        <f>IF($C96=1,0,$U95)</f>
        <v/>
      </c>
      <c r="T96" s="17">
        <f>MAX(0,$R96-$S96)</f>
        <v/>
      </c>
      <c r="U96" s="17">
        <f>$S96+$T96</f>
        <v/>
      </c>
      <c r="V96" s="17">
        <f>MAX(0,$U96-$R96)</f>
        <v/>
      </c>
      <c r="W96">
        <f>IF($B96="","",IF($L96&lt;=0,"Tier 1","Tier "&amp;COUNTIF('Plan setup'!$B$10:$B$13,"&lt;="&amp;$M96)))</f>
        <v/>
      </c>
      <c r="X96" s="16">
        <f>IF($L96&gt;0,$R96/$L96,0)</f>
        <v/>
      </c>
    </row>
    <row r="97">
      <c r="A97">
        <f>INT((ROW()-2)/12)+1</f>
        <v/>
      </c>
      <c r="B97">
        <f>IF(INDEX('Plan setup'!$A$25:$A$34,$A97)="","",INDEX('Plan setup'!$A$25:$A$34,$A97))</f>
        <v/>
      </c>
      <c r="C97">
        <f>MOD(ROW()-2,12)+1</f>
        <v/>
      </c>
      <c r="D97" s="24">
        <f>EDATE('Plan setup'!$B$3,$C97-1)</f>
        <v/>
      </c>
      <c r="E97" s="24">
        <f>EDATE('Plan setup'!$B$3,$C97)-1</f>
        <v/>
      </c>
      <c r="F97">
        <f>$B97&amp;"|"&amp;$C97</f>
        <v/>
      </c>
      <c r="G97" s="17">
        <f>IF($B97="",0,IFERROR(INDEX('Plan setup'!$C$25:$C$34,$A97)*1,0))</f>
        <v/>
      </c>
      <c r="H97" s="16">
        <f>IF($B97="",0,IFERROR(INDEX('Plan setup'!$E$25:$E$34,$A97)*1,0))</f>
        <v/>
      </c>
      <c r="I97" s="17">
        <f>IF($B97="",0,SUMIFS(Deals!$N$2:$N$301,Deals!$F$2:$F$301,$B97,Deals!$B$2:$B$301,"&gt;="&amp;$D97,Deals!$B$2:$B$301,"&lt;="&amp;$E97)+SUMIFS(Deals!$O$2:$O$301,Deals!$H$2:$H$301,$B97,Deals!$B$2:$B$301,"&gt;="&amp;$D97,Deals!$B$2:$B$301,"&lt;="&amp;$E97))</f>
        <v/>
      </c>
      <c r="J97" s="17">
        <f>IF($B97="",0,SUMIFS(Deals!$N$2:$N$301,Deals!$F$2:$F$301,$B97,Deals!$Q$2:$Q$301,"&gt;="&amp;$D97,Deals!$Q$2:$Q$301,"&lt;="&amp;$E97)+SUMIFS(Deals!$O$2:$O$301,Deals!$H$2:$H$301,$B97,Deals!$Q$2:$Q$301,"&gt;="&amp;$D97,Deals!$Q$2:$Q$301,"&lt;="&amp;$E97))</f>
        <v/>
      </c>
      <c r="K97" s="17">
        <f>$I97-$J97</f>
        <v/>
      </c>
      <c r="L97" s="17">
        <f>IF($C97=1,$K97,$L96+$K97)</f>
        <v/>
      </c>
      <c r="M97" s="25">
        <f>IF($G97&gt;0,$L97/$G97,0)</f>
        <v/>
      </c>
      <c r="N97" s="17">
        <f>IF('Plan setup'!$B$10="",0,MAX(0,MIN(MAX($L97,0),IF('Plan setup'!$C$10="",9E+15,'Plan setup'!$C$10*$G97))-'Plan setup'!$B$10*$G97))</f>
        <v/>
      </c>
      <c r="O97" s="17">
        <f>IF('Plan setup'!$B$11="",0,MAX(0,MIN(MAX($L97,0),IF('Plan setup'!$C$11="",9E+15,'Plan setup'!$C$11*$G97))-'Plan setup'!$B$11*$G97))</f>
        <v/>
      </c>
      <c r="P97" s="17">
        <f>IF('Plan setup'!$B$12="",0,MAX(0,MIN(MAX($L97,0),IF('Plan setup'!$C$12="",9E+15,'Plan setup'!$C$12*$G97))-'Plan setup'!$B$12*$G97))</f>
        <v/>
      </c>
      <c r="Q97" s="17">
        <f>IF('Plan setup'!$B$13="",0,MAX(0,MIN(MAX($L97,0),IF('Plan setup'!$C$13="",9E+15,'Plan setup'!$C$13*$G97))-'Plan setup'!$B$13*$G97))</f>
        <v/>
      </c>
      <c r="R97" s="17">
        <f>$H97*($N97*N('Plan setup'!$D$10)+$O97*N('Plan setup'!$D$11)+$P97*N('Plan setup'!$D$12)+$Q97*N('Plan setup'!$D$13))</f>
        <v/>
      </c>
      <c r="S97" s="17">
        <f>IF($C97=1,0,$U96)</f>
        <v/>
      </c>
      <c r="T97" s="17">
        <f>MAX(0,$R97-$S97)</f>
        <v/>
      </c>
      <c r="U97" s="17">
        <f>$S97+$T97</f>
        <v/>
      </c>
      <c r="V97" s="17">
        <f>MAX(0,$U97-$R97)</f>
        <v/>
      </c>
      <c r="W97">
        <f>IF($B97="","",IF($L97&lt;=0,"Tier 1","Tier "&amp;COUNTIF('Plan setup'!$B$10:$B$13,"&lt;="&amp;$M97)))</f>
        <v/>
      </c>
      <c r="X97" s="16">
        <f>IF($L97&gt;0,$R97/$L97,0)</f>
        <v/>
      </c>
    </row>
    <row r="98">
      <c r="A98">
        <f>INT((ROW()-2)/12)+1</f>
        <v/>
      </c>
      <c r="B98">
        <f>IF(INDEX('Plan setup'!$A$25:$A$34,$A98)="","",INDEX('Plan setup'!$A$25:$A$34,$A98))</f>
        <v/>
      </c>
      <c r="C98">
        <f>MOD(ROW()-2,12)+1</f>
        <v/>
      </c>
      <c r="D98" s="24">
        <f>EDATE('Plan setup'!$B$3,$C98-1)</f>
        <v/>
      </c>
      <c r="E98" s="24">
        <f>EDATE('Plan setup'!$B$3,$C98)-1</f>
        <v/>
      </c>
      <c r="F98">
        <f>$B98&amp;"|"&amp;$C98</f>
        <v/>
      </c>
      <c r="G98" s="17">
        <f>IF($B98="",0,IFERROR(INDEX('Plan setup'!$C$25:$C$34,$A98)*1,0))</f>
        <v/>
      </c>
      <c r="H98" s="16">
        <f>IF($B98="",0,IFERROR(INDEX('Plan setup'!$E$25:$E$34,$A98)*1,0))</f>
        <v/>
      </c>
      <c r="I98" s="17">
        <f>IF($B98="",0,SUMIFS(Deals!$N$2:$N$301,Deals!$F$2:$F$301,$B98,Deals!$B$2:$B$301,"&gt;="&amp;$D98,Deals!$B$2:$B$301,"&lt;="&amp;$E98)+SUMIFS(Deals!$O$2:$O$301,Deals!$H$2:$H$301,$B98,Deals!$B$2:$B$301,"&gt;="&amp;$D98,Deals!$B$2:$B$301,"&lt;="&amp;$E98))</f>
        <v/>
      </c>
      <c r="J98" s="17">
        <f>IF($B98="",0,SUMIFS(Deals!$N$2:$N$301,Deals!$F$2:$F$301,$B98,Deals!$Q$2:$Q$301,"&gt;="&amp;$D98,Deals!$Q$2:$Q$301,"&lt;="&amp;$E98)+SUMIFS(Deals!$O$2:$O$301,Deals!$H$2:$H$301,$B98,Deals!$Q$2:$Q$301,"&gt;="&amp;$D98,Deals!$Q$2:$Q$301,"&lt;="&amp;$E98))</f>
        <v/>
      </c>
      <c r="K98" s="17">
        <f>$I98-$J98</f>
        <v/>
      </c>
      <c r="L98" s="17">
        <f>IF($C98=1,$K98,$L97+$K98)</f>
        <v/>
      </c>
      <c r="M98" s="25">
        <f>IF($G98&gt;0,$L98/$G98,0)</f>
        <v/>
      </c>
      <c r="N98" s="17">
        <f>IF('Plan setup'!$B$10="",0,MAX(0,MIN(MAX($L98,0),IF('Plan setup'!$C$10="",9E+15,'Plan setup'!$C$10*$G98))-'Plan setup'!$B$10*$G98))</f>
        <v/>
      </c>
      <c r="O98" s="17">
        <f>IF('Plan setup'!$B$11="",0,MAX(0,MIN(MAX($L98,0),IF('Plan setup'!$C$11="",9E+15,'Plan setup'!$C$11*$G98))-'Plan setup'!$B$11*$G98))</f>
        <v/>
      </c>
      <c r="P98" s="17">
        <f>IF('Plan setup'!$B$12="",0,MAX(0,MIN(MAX($L98,0),IF('Plan setup'!$C$12="",9E+15,'Plan setup'!$C$12*$G98))-'Plan setup'!$B$12*$G98))</f>
        <v/>
      </c>
      <c r="Q98" s="17">
        <f>IF('Plan setup'!$B$13="",0,MAX(0,MIN(MAX($L98,0),IF('Plan setup'!$C$13="",9E+15,'Plan setup'!$C$13*$G98))-'Plan setup'!$B$13*$G98))</f>
        <v/>
      </c>
      <c r="R98" s="17">
        <f>$H98*($N98*N('Plan setup'!$D$10)+$O98*N('Plan setup'!$D$11)+$P98*N('Plan setup'!$D$12)+$Q98*N('Plan setup'!$D$13))</f>
        <v/>
      </c>
      <c r="S98" s="17">
        <f>IF($C98=1,0,$U97)</f>
        <v/>
      </c>
      <c r="T98" s="17">
        <f>MAX(0,$R98-$S98)</f>
        <v/>
      </c>
      <c r="U98" s="17">
        <f>$S98+$T98</f>
        <v/>
      </c>
      <c r="V98" s="17">
        <f>MAX(0,$U98-$R98)</f>
        <v/>
      </c>
      <c r="W98">
        <f>IF($B98="","",IF($L98&lt;=0,"Tier 1","Tier "&amp;COUNTIF('Plan setup'!$B$10:$B$13,"&lt;="&amp;$M98)))</f>
        <v/>
      </c>
      <c r="X98" s="16">
        <f>IF($L98&gt;0,$R98/$L98,0)</f>
        <v/>
      </c>
    </row>
    <row r="99">
      <c r="A99">
        <f>INT((ROW()-2)/12)+1</f>
        <v/>
      </c>
      <c r="B99">
        <f>IF(INDEX('Plan setup'!$A$25:$A$34,$A99)="","",INDEX('Plan setup'!$A$25:$A$34,$A99))</f>
        <v/>
      </c>
      <c r="C99">
        <f>MOD(ROW()-2,12)+1</f>
        <v/>
      </c>
      <c r="D99" s="24">
        <f>EDATE('Plan setup'!$B$3,$C99-1)</f>
        <v/>
      </c>
      <c r="E99" s="24">
        <f>EDATE('Plan setup'!$B$3,$C99)-1</f>
        <v/>
      </c>
      <c r="F99">
        <f>$B99&amp;"|"&amp;$C99</f>
        <v/>
      </c>
      <c r="G99" s="17">
        <f>IF($B99="",0,IFERROR(INDEX('Plan setup'!$C$25:$C$34,$A99)*1,0))</f>
        <v/>
      </c>
      <c r="H99" s="16">
        <f>IF($B99="",0,IFERROR(INDEX('Plan setup'!$E$25:$E$34,$A99)*1,0))</f>
        <v/>
      </c>
      <c r="I99" s="17">
        <f>IF($B99="",0,SUMIFS(Deals!$N$2:$N$301,Deals!$F$2:$F$301,$B99,Deals!$B$2:$B$301,"&gt;="&amp;$D99,Deals!$B$2:$B$301,"&lt;="&amp;$E99)+SUMIFS(Deals!$O$2:$O$301,Deals!$H$2:$H$301,$B99,Deals!$B$2:$B$301,"&gt;="&amp;$D99,Deals!$B$2:$B$301,"&lt;="&amp;$E99))</f>
        <v/>
      </c>
      <c r="J99" s="17">
        <f>IF($B99="",0,SUMIFS(Deals!$N$2:$N$301,Deals!$F$2:$F$301,$B99,Deals!$Q$2:$Q$301,"&gt;="&amp;$D99,Deals!$Q$2:$Q$301,"&lt;="&amp;$E99)+SUMIFS(Deals!$O$2:$O$301,Deals!$H$2:$H$301,$B99,Deals!$Q$2:$Q$301,"&gt;="&amp;$D99,Deals!$Q$2:$Q$301,"&lt;="&amp;$E99))</f>
        <v/>
      </c>
      <c r="K99" s="17">
        <f>$I99-$J99</f>
        <v/>
      </c>
      <c r="L99" s="17">
        <f>IF($C99=1,$K99,$L98+$K99)</f>
        <v/>
      </c>
      <c r="M99" s="25">
        <f>IF($G99&gt;0,$L99/$G99,0)</f>
        <v/>
      </c>
      <c r="N99" s="17">
        <f>IF('Plan setup'!$B$10="",0,MAX(0,MIN(MAX($L99,0),IF('Plan setup'!$C$10="",9E+15,'Plan setup'!$C$10*$G99))-'Plan setup'!$B$10*$G99))</f>
        <v/>
      </c>
      <c r="O99" s="17">
        <f>IF('Plan setup'!$B$11="",0,MAX(0,MIN(MAX($L99,0),IF('Plan setup'!$C$11="",9E+15,'Plan setup'!$C$11*$G99))-'Plan setup'!$B$11*$G99))</f>
        <v/>
      </c>
      <c r="P99" s="17">
        <f>IF('Plan setup'!$B$12="",0,MAX(0,MIN(MAX($L99,0),IF('Plan setup'!$C$12="",9E+15,'Plan setup'!$C$12*$G99))-'Plan setup'!$B$12*$G99))</f>
        <v/>
      </c>
      <c r="Q99" s="17">
        <f>IF('Plan setup'!$B$13="",0,MAX(0,MIN(MAX($L99,0),IF('Plan setup'!$C$13="",9E+15,'Plan setup'!$C$13*$G99))-'Plan setup'!$B$13*$G99))</f>
        <v/>
      </c>
      <c r="R99" s="17">
        <f>$H99*($N99*N('Plan setup'!$D$10)+$O99*N('Plan setup'!$D$11)+$P99*N('Plan setup'!$D$12)+$Q99*N('Plan setup'!$D$13))</f>
        <v/>
      </c>
      <c r="S99" s="17">
        <f>IF($C99=1,0,$U98)</f>
        <v/>
      </c>
      <c r="T99" s="17">
        <f>MAX(0,$R99-$S99)</f>
        <v/>
      </c>
      <c r="U99" s="17">
        <f>$S99+$T99</f>
        <v/>
      </c>
      <c r="V99" s="17">
        <f>MAX(0,$U99-$R99)</f>
        <v/>
      </c>
      <c r="W99">
        <f>IF($B99="","",IF($L99&lt;=0,"Tier 1","Tier "&amp;COUNTIF('Plan setup'!$B$10:$B$13,"&lt;="&amp;$M99)))</f>
        <v/>
      </c>
      <c r="X99" s="16">
        <f>IF($L99&gt;0,$R99/$L99,0)</f>
        <v/>
      </c>
    </row>
    <row r="100">
      <c r="A100">
        <f>INT((ROW()-2)/12)+1</f>
        <v/>
      </c>
      <c r="B100">
        <f>IF(INDEX('Plan setup'!$A$25:$A$34,$A100)="","",INDEX('Plan setup'!$A$25:$A$34,$A100))</f>
        <v/>
      </c>
      <c r="C100">
        <f>MOD(ROW()-2,12)+1</f>
        <v/>
      </c>
      <c r="D100" s="24">
        <f>EDATE('Plan setup'!$B$3,$C100-1)</f>
        <v/>
      </c>
      <c r="E100" s="24">
        <f>EDATE('Plan setup'!$B$3,$C100)-1</f>
        <v/>
      </c>
      <c r="F100">
        <f>$B100&amp;"|"&amp;$C100</f>
        <v/>
      </c>
      <c r="G100" s="17">
        <f>IF($B100="",0,IFERROR(INDEX('Plan setup'!$C$25:$C$34,$A100)*1,0))</f>
        <v/>
      </c>
      <c r="H100" s="16">
        <f>IF($B100="",0,IFERROR(INDEX('Plan setup'!$E$25:$E$34,$A100)*1,0))</f>
        <v/>
      </c>
      <c r="I100" s="17">
        <f>IF($B100="",0,SUMIFS(Deals!$N$2:$N$301,Deals!$F$2:$F$301,$B100,Deals!$B$2:$B$301,"&gt;="&amp;$D100,Deals!$B$2:$B$301,"&lt;="&amp;$E100)+SUMIFS(Deals!$O$2:$O$301,Deals!$H$2:$H$301,$B100,Deals!$B$2:$B$301,"&gt;="&amp;$D100,Deals!$B$2:$B$301,"&lt;="&amp;$E100))</f>
        <v/>
      </c>
      <c r="J100" s="17">
        <f>IF($B100="",0,SUMIFS(Deals!$N$2:$N$301,Deals!$F$2:$F$301,$B100,Deals!$Q$2:$Q$301,"&gt;="&amp;$D100,Deals!$Q$2:$Q$301,"&lt;="&amp;$E100)+SUMIFS(Deals!$O$2:$O$301,Deals!$H$2:$H$301,$B100,Deals!$Q$2:$Q$301,"&gt;="&amp;$D100,Deals!$Q$2:$Q$301,"&lt;="&amp;$E100))</f>
        <v/>
      </c>
      <c r="K100" s="17">
        <f>$I100-$J100</f>
        <v/>
      </c>
      <c r="L100" s="17">
        <f>IF($C100=1,$K100,$L99+$K100)</f>
        <v/>
      </c>
      <c r="M100" s="25">
        <f>IF($G100&gt;0,$L100/$G100,0)</f>
        <v/>
      </c>
      <c r="N100" s="17">
        <f>IF('Plan setup'!$B$10="",0,MAX(0,MIN(MAX($L100,0),IF('Plan setup'!$C$10="",9E+15,'Plan setup'!$C$10*$G100))-'Plan setup'!$B$10*$G100))</f>
        <v/>
      </c>
      <c r="O100" s="17">
        <f>IF('Plan setup'!$B$11="",0,MAX(0,MIN(MAX($L100,0),IF('Plan setup'!$C$11="",9E+15,'Plan setup'!$C$11*$G100))-'Plan setup'!$B$11*$G100))</f>
        <v/>
      </c>
      <c r="P100" s="17">
        <f>IF('Plan setup'!$B$12="",0,MAX(0,MIN(MAX($L100,0),IF('Plan setup'!$C$12="",9E+15,'Plan setup'!$C$12*$G100))-'Plan setup'!$B$12*$G100))</f>
        <v/>
      </c>
      <c r="Q100" s="17">
        <f>IF('Plan setup'!$B$13="",0,MAX(0,MIN(MAX($L100,0),IF('Plan setup'!$C$13="",9E+15,'Plan setup'!$C$13*$G100))-'Plan setup'!$B$13*$G100))</f>
        <v/>
      </c>
      <c r="R100" s="17">
        <f>$H100*($N100*N('Plan setup'!$D$10)+$O100*N('Plan setup'!$D$11)+$P100*N('Plan setup'!$D$12)+$Q100*N('Plan setup'!$D$13))</f>
        <v/>
      </c>
      <c r="S100" s="17">
        <f>IF($C100=1,0,$U99)</f>
        <v/>
      </c>
      <c r="T100" s="17">
        <f>MAX(0,$R100-$S100)</f>
        <v/>
      </c>
      <c r="U100" s="17">
        <f>$S100+$T100</f>
        <v/>
      </c>
      <c r="V100" s="17">
        <f>MAX(0,$U100-$R100)</f>
        <v/>
      </c>
      <c r="W100">
        <f>IF($B100="","",IF($L100&lt;=0,"Tier 1","Tier "&amp;COUNTIF('Plan setup'!$B$10:$B$13,"&lt;="&amp;$M100)))</f>
        <v/>
      </c>
      <c r="X100" s="16">
        <f>IF($L100&gt;0,$R100/$L100,0)</f>
        <v/>
      </c>
    </row>
    <row r="101">
      <c r="A101">
        <f>INT((ROW()-2)/12)+1</f>
        <v/>
      </c>
      <c r="B101">
        <f>IF(INDEX('Plan setup'!$A$25:$A$34,$A101)="","",INDEX('Plan setup'!$A$25:$A$34,$A101))</f>
        <v/>
      </c>
      <c r="C101">
        <f>MOD(ROW()-2,12)+1</f>
        <v/>
      </c>
      <c r="D101" s="24">
        <f>EDATE('Plan setup'!$B$3,$C101-1)</f>
        <v/>
      </c>
      <c r="E101" s="24">
        <f>EDATE('Plan setup'!$B$3,$C101)-1</f>
        <v/>
      </c>
      <c r="F101">
        <f>$B101&amp;"|"&amp;$C101</f>
        <v/>
      </c>
      <c r="G101" s="17">
        <f>IF($B101="",0,IFERROR(INDEX('Plan setup'!$C$25:$C$34,$A101)*1,0))</f>
        <v/>
      </c>
      <c r="H101" s="16">
        <f>IF($B101="",0,IFERROR(INDEX('Plan setup'!$E$25:$E$34,$A101)*1,0))</f>
        <v/>
      </c>
      <c r="I101" s="17">
        <f>IF($B101="",0,SUMIFS(Deals!$N$2:$N$301,Deals!$F$2:$F$301,$B101,Deals!$B$2:$B$301,"&gt;="&amp;$D101,Deals!$B$2:$B$301,"&lt;="&amp;$E101)+SUMIFS(Deals!$O$2:$O$301,Deals!$H$2:$H$301,$B101,Deals!$B$2:$B$301,"&gt;="&amp;$D101,Deals!$B$2:$B$301,"&lt;="&amp;$E101))</f>
        <v/>
      </c>
      <c r="J101" s="17">
        <f>IF($B101="",0,SUMIFS(Deals!$N$2:$N$301,Deals!$F$2:$F$301,$B101,Deals!$Q$2:$Q$301,"&gt;="&amp;$D101,Deals!$Q$2:$Q$301,"&lt;="&amp;$E101)+SUMIFS(Deals!$O$2:$O$301,Deals!$H$2:$H$301,$B101,Deals!$Q$2:$Q$301,"&gt;="&amp;$D101,Deals!$Q$2:$Q$301,"&lt;="&amp;$E101))</f>
        <v/>
      </c>
      <c r="K101" s="17">
        <f>$I101-$J101</f>
        <v/>
      </c>
      <c r="L101" s="17">
        <f>IF($C101=1,$K101,$L100+$K101)</f>
        <v/>
      </c>
      <c r="M101" s="25">
        <f>IF($G101&gt;0,$L101/$G101,0)</f>
        <v/>
      </c>
      <c r="N101" s="17">
        <f>IF('Plan setup'!$B$10="",0,MAX(0,MIN(MAX($L101,0),IF('Plan setup'!$C$10="",9E+15,'Plan setup'!$C$10*$G101))-'Plan setup'!$B$10*$G101))</f>
        <v/>
      </c>
      <c r="O101" s="17">
        <f>IF('Plan setup'!$B$11="",0,MAX(0,MIN(MAX($L101,0),IF('Plan setup'!$C$11="",9E+15,'Plan setup'!$C$11*$G101))-'Plan setup'!$B$11*$G101))</f>
        <v/>
      </c>
      <c r="P101" s="17">
        <f>IF('Plan setup'!$B$12="",0,MAX(0,MIN(MAX($L101,0),IF('Plan setup'!$C$12="",9E+15,'Plan setup'!$C$12*$G101))-'Plan setup'!$B$12*$G101))</f>
        <v/>
      </c>
      <c r="Q101" s="17">
        <f>IF('Plan setup'!$B$13="",0,MAX(0,MIN(MAX($L101,0),IF('Plan setup'!$C$13="",9E+15,'Plan setup'!$C$13*$G101))-'Plan setup'!$B$13*$G101))</f>
        <v/>
      </c>
      <c r="R101" s="17">
        <f>$H101*($N101*N('Plan setup'!$D$10)+$O101*N('Plan setup'!$D$11)+$P101*N('Plan setup'!$D$12)+$Q101*N('Plan setup'!$D$13))</f>
        <v/>
      </c>
      <c r="S101" s="17">
        <f>IF($C101=1,0,$U100)</f>
        <v/>
      </c>
      <c r="T101" s="17">
        <f>MAX(0,$R101-$S101)</f>
        <v/>
      </c>
      <c r="U101" s="17">
        <f>$S101+$T101</f>
        <v/>
      </c>
      <c r="V101" s="17">
        <f>MAX(0,$U101-$R101)</f>
        <v/>
      </c>
      <c r="W101">
        <f>IF($B101="","",IF($L101&lt;=0,"Tier 1","Tier "&amp;COUNTIF('Plan setup'!$B$10:$B$13,"&lt;="&amp;$M101)))</f>
        <v/>
      </c>
      <c r="X101" s="16">
        <f>IF($L101&gt;0,$R101/$L101,0)</f>
        <v/>
      </c>
    </row>
    <row r="102">
      <c r="A102">
        <f>INT((ROW()-2)/12)+1</f>
        <v/>
      </c>
      <c r="B102">
        <f>IF(INDEX('Plan setup'!$A$25:$A$34,$A102)="","",INDEX('Plan setup'!$A$25:$A$34,$A102))</f>
        <v/>
      </c>
      <c r="C102">
        <f>MOD(ROW()-2,12)+1</f>
        <v/>
      </c>
      <c r="D102" s="24">
        <f>EDATE('Plan setup'!$B$3,$C102-1)</f>
        <v/>
      </c>
      <c r="E102" s="24">
        <f>EDATE('Plan setup'!$B$3,$C102)-1</f>
        <v/>
      </c>
      <c r="F102">
        <f>$B102&amp;"|"&amp;$C102</f>
        <v/>
      </c>
      <c r="G102" s="17">
        <f>IF($B102="",0,IFERROR(INDEX('Plan setup'!$C$25:$C$34,$A102)*1,0))</f>
        <v/>
      </c>
      <c r="H102" s="16">
        <f>IF($B102="",0,IFERROR(INDEX('Plan setup'!$E$25:$E$34,$A102)*1,0))</f>
        <v/>
      </c>
      <c r="I102" s="17">
        <f>IF($B102="",0,SUMIFS(Deals!$N$2:$N$301,Deals!$F$2:$F$301,$B102,Deals!$B$2:$B$301,"&gt;="&amp;$D102,Deals!$B$2:$B$301,"&lt;="&amp;$E102)+SUMIFS(Deals!$O$2:$O$301,Deals!$H$2:$H$301,$B102,Deals!$B$2:$B$301,"&gt;="&amp;$D102,Deals!$B$2:$B$301,"&lt;="&amp;$E102))</f>
        <v/>
      </c>
      <c r="J102" s="17">
        <f>IF($B102="",0,SUMIFS(Deals!$N$2:$N$301,Deals!$F$2:$F$301,$B102,Deals!$Q$2:$Q$301,"&gt;="&amp;$D102,Deals!$Q$2:$Q$301,"&lt;="&amp;$E102)+SUMIFS(Deals!$O$2:$O$301,Deals!$H$2:$H$301,$B102,Deals!$Q$2:$Q$301,"&gt;="&amp;$D102,Deals!$Q$2:$Q$301,"&lt;="&amp;$E102))</f>
        <v/>
      </c>
      <c r="K102" s="17">
        <f>$I102-$J102</f>
        <v/>
      </c>
      <c r="L102" s="17">
        <f>IF($C102=1,$K102,$L101+$K102)</f>
        <v/>
      </c>
      <c r="M102" s="25">
        <f>IF($G102&gt;0,$L102/$G102,0)</f>
        <v/>
      </c>
      <c r="N102" s="17">
        <f>IF('Plan setup'!$B$10="",0,MAX(0,MIN(MAX($L102,0),IF('Plan setup'!$C$10="",9E+15,'Plan setup'!$C$10*$G102))-'Plan setup'!$B$10*$G102))</f>
        <v/>
      </c>
      <c r="O102" s="17">
        <f>IF('Plan setup'!$B$11="",0,MAX(0,MIN(MAX($L102,0),IF('Plan setup'!$C$11="",9E+15,'Plan setup'!$C$11*$G102))-'Plan setup'!$B$11*$G102))</f>
        <v/>
      </c>
      <c r="P102" s="17">
        <f>IF('Plan setup'!$B$12="",0,MAX(0,MIN(MAX($L102,0),IF('Plan setup'!$C$12="",9E+15,'Plan setup'!$C$12*$G102))-'Plan setup'!$B$12*$G102))</f>
        <v/>
      </c>
      <c r="Q102" s="17">
        <f>IF('Plan setup'!$B$13="",0,MAX(0,MIN(MAX($L102,0),IF('Plan setup'!$C$13="",9E+15,'Plan setup'!$C$13*$G102))-'Plan setup'!$B$13*$G102))</f>
        <v/>
      </c>
      <c r="R102" s="17">
        <f>$H102*($N102*N('Plan setup'!$D$10)+$O102*N('Plan setup'!$D$11)+$P102*N('Plan setup'!$D$12)+$Q102*N('Plan setup'!$D$13))</f>
        <v/>
      </c>
      <c r="S102" s="17">
        <f>IF($C102=1,0,$U101)</f>
        <v/>
      </c>
      <c r="T102" s="17">
        <f>MAX(0,$R102-$S102)</f>
        <v/>
      </c>
      <c r="U102" s="17">
        <f>$S102+$T102</f>
        <v/>
      </c>
      <c r="V102" s="17">
        <f>MAX(0,$U102-$R102)</f>
        <v/>
      </c>
      <c r="W102">
        <f>IF($B102="","",IF($L102&lt;=0,"Tier 1","Tier "&amp;COUNTIF('Plan setup'!$B$10:$B$13,"&lt;="&amp;$M102)))</f>
        <v/>
      </c>
      <c r="X102" s="16">
        <f>IF($L102&gt;0,$R102/$L102,0)</f>
        <v/>
      </c>
    </row>
    <row r="103">
      <c r="A103">
        <f>INT((ROW()-2)/12)+1</f>
        <v/>
      </c>
      <c r="B103">
        <f>IF(INDEX('Plan setup'!$A$25:$A$34,$A103)="","",INDEX('Plan setup'!$A$25:$A$34,$A103))</f>
        <v/>
      </c>
      <c r="C103">
        <f>MOD(ROW()-2,12)+1</f>
        <v/>
      </c>
      <c r="D103" s="24">
        <f>EDATE('Plan setup'!$B$3,$C103-1)</f>
        <v/>
      </c>
      <c r="E103" s="24">
        <f>EDATE('Plan setup'!$B$3,$C103)-1</f>
        <v/>
      </c>
      <c r="F103">
        <f>$B103&amp;"|"&amp;$C103</f>
        <v/>
      </c>
      <c r="G103" s="17">
        <f>IF($B103="",0,IFERROR(INDEX('Plan setup'!$C$25:$C$34,$A103)*1,0))</f>
        <v/>
      </c>
      <c r="H103" s="16">
        <f>IF($B103="",0,IFERROR(INDEX('Plan setup'!$E$25:$E$34,$A103)*1,0))</f>
        <v/>
      </c>
      <c r="I103" s="17">
        <f>IF($B103="",0,SUMIFS(Deals!$N$2:$N$301,Deals!$F$2:$F$301,$B103,Deals!$B$2:$B$301,"&gt;="&amp;$D103,Deals!$B$2:$B$301,"&lt;="&amp;$E103)+SUMIFS(Deals!$O$2:$O$301,Deals!$H$2:$H$301,$B103,Deals!$B$2:$B$301,"&gt;="&amp;$D103,Deals!$B$2:$B$301,"&lt;="&amp;$E103))</f>
        <v/>
      </c>
      <c r="J103" s="17">
        <f>IF($B103="",0,SUMIFS(Deals!$N$2:$N$301,Deals!$F$2:$F$301,$B103,Deals!$Q$2:$Q$301,"&gt;="&amp;$D103,Deals!$Q$2:$Q$301,"&lt;="&amp;$E103)+SUMIFS(Deals!$O$2:$O$301,Deals!$H$2:$H$301,$B103,Deals!$Q$2:$Q$301,"&gt;="&amp;$D103,Deals!$Q$2:$Q$301,"&lt;="&amp;$E103))</f>
        <v/>
      </c>
      <c r="K103" s="17">
        <f>$I103-$J103</f>
        <v/>
      </c>
      <c r="L103" s="17">
        <f>IF($C103=1,$K103,$L102+$K103)</f>
        <v/>
      </c>
      <c r="M103" s="25">
        <f>IF($G103&gt;0,$L103/$G103,0)</f>
        <v/>
      </c>
      <c r="N103" s="17">
        <f>IF('Plan setup'!$B$10="",0,MAX(0,MIN(MAX($L103,0),IF('Plan setup'!$C$10="",9E+15,'Plan setup'!$C$10*$G103))-'Plan setup'!$B$10*$G103))</f>
        <v/>
      </c>
      <c r="O103" s="17">
        <f>IF('Plan setup'!$B$11="",0,MAX(0,MIN(MAX($L103,0),IF('Plan setup'!$C$11="",9E+15,'Plan setup'!$C$11*$G103))-'Plan setup'!$B$11*$G103))</f>
        <v/>
      </c>
      <c r="P103" s="17">
        <f>IF('Plan setup'!$B$12="",0,MAX(0,MIN(MAX($L103,0),IF('Plan setup'!$C$12="",9E+15,'Plan setup'!$C$12*$G103))-'Plan setup'!$B$12*$G103))</f>
        <v/>
      </c>
      <c r="Q103" s="17">
        <f>IF('Plan setup'!$B$13="",0,MAX(0,MIN(MAX($L103,0),IF('Plan setup'!$C$13="",9E+15,'Plan setup'!$C$13*$G103))-'Plan setup'!$B$13*$G103))</f>
        <v/>
      </c>
      <c r="R103" s="17">
        <f>$H103*($N103*N('Plan setup'!$D$10)+$O103*N('Plan setup'!$D$11)+$P103*N('Plan setup'!$D$12)+$Q103*N('Plan setup'!$D$13))</f>
        <v/>
      </c>
      <c r="S103" s="17">
        <f>IF($C103=1,0,$U102)</f>
        <v/>
      </c>
      <c r="T103" s="17">
        <f>MAX(0,$R103-$S103)</f>
        <v/>
      </c>
      <c r="U103" s="17">
        <f>$S103+$T103</f>
        <v/>
      </c>
      <c r="V103" s="17">
        <f>MAX(0,$U103-$R103)</f>
        <v/>
      </c>
      <c r="W103">
        <f>IF($B103="","",IF($L103&lt;=0,"Tier 1","Tier "&amp;COUNTIF('Plan setup'!$B$10:$B$13,"&lt;="&amp;$M103)))</f>
        <v/>
      </c>
      <c r="X103" s="16">
        <f>IF($L103&gt;0,$R103/$L103,0)</f>
        <v/>
      </c>
    </row>
    <row r="104">
      <c r="A104">
        <f>INT((ROW()-2)/12)+1</f>
        <v/>
      </c>
      <c r="B104">
        <f>IF(INDEX('Plan setup'!$A$25:$A$34,$A104)="","",INDEX('Plan setup'!$A$25:$A$34,$A104))</f>
        <v/>
      </c>
      <c r="C104">
        <f>MOD(ROW()-2,12)+1</f>
        <v/>
      </c>
      <c r="D104" s="24">
        <f>EDATE('Plan setup'!$B$3,$C104-1)</f>
        <v/>
      </c>
      <c r="E104" s="24">
        <f>EDATE('Plan setup'!$B$3,$C104)-1</f>
        <v/>
      </c>
      <c r="F104">
        <f>$B104&amp;"|"&amp;$C104</f>
        <v/>
      </c>
      <c r="G104" s="17">
        <f>IF($B104="",0,IFERROR(INDEX('Plan setup'!$C$25:$C$34,$A104)*1,0))</f>
        <v/>
      </c>
      <c r="H104" s="16">
        <f>IF($B104="",0,IFERROR(INDEX('Plan setup'!$E$25:$E$34,$A104)*1,0))</f>
        <v/>
      </c>
      <c r="I104" s="17">
        <f>IF($B104="",0,SUMIFS(Deals!$N$2:$N$301,Deals!$F$2:$F$301,$B104,Deals!$B$2:$B$301,"&gt;="&amp;$D104,Deals!$B$2:$B$301,"&lt;="&amp;$E104)+SUMIFS(Deals!$O$2:$O$301,Deals!$H$2:$H$301,$B104,Deals!$B$2:$B$301,"&gt;="&amp;$D104,Deals!$B$2:$B$301,"&lt;="&amp;$E104))</f>
        <v/>
      </c>
      <c r="J104" s="17">
        <f>IF($B104="",0,SUMIFS(Deals!$N$2:$N$301,Deals!$F$2:$F$301,$B104,Deals!$Q$2:$Q$301,"&gt;="&amp;$D104,Deals!$Q$2:$Q$301,"&lt;="&amp;$E104)+SUMIFS(Deals!$O$2:$O$301,Deals!$H$2:$H$301,$B104,Deals!$Q$2:$Q$301,"&gt;="&amp;$D104,Deals!$Q$2:$Q$301,"&lt;="&amp;$E104))</f>
        <v/>
      </c>
      <c r="K104" s="17">
        <f>$I104-$J104</f>
        <v/>
      </c>
      <c r="L104" s="17">
        <f>IF($C104=1,$K104,$L103+$K104)</f>
        <v/>
      </c>
      <c r="M104" s="25">
        <f>IF($G104&gt;0,$L104/$G104,0)</f>
        <v/>
      </c>
      <c r="N104" s="17">
        <f>IF('Plan setup'!$B$10="",0,MAX(0,MIN(MAX($L104,0),IF('Plan setup'!$C$10="",9E+15,'Plan setup'!$C$10*$G104))-'Plan setup'!$B$10*$G104))</f>
        <v/>
      </c>
      <c r="O104" s="17">
        <f>IF('Plan setup'!$B$11="",0,MAX(0,MIN(MAX($L104,0),IF('Plan setup'!$C$11="",9E+15,'Plan setup'!$C$11*$G104))-'Plan setup'!$B$11*$G104))</f>
        <v/>
      </c>
      <c r="P104" s="17">
        <f>IF('Plan setup'!$B$12="",0,MAX(0,MIN(MAX($L104,0),IF('Plan setup'!$C$12="",9E+15,'Plan setup'!$C$12*$G104))-'Plan setup'!$B$12*$G104))</f>
        <v/>
      </c>
      <c r="Q104" s="17">
        <f>IF('Plan setup'!$B$13="",0,MAX(0,MIN(MAX($L104,0),IF('Plan setup'!$C$13="",9E+15,'Plan setup'!$C$13*$G104))-'Plan setup'!$B$13*$G104))</f>
        <v/>
      </c>
      <c r="R104" s="17">
        <f>$H104*($N104*N('Plan setup'!$D$10)+$O104*N('Plan setup'!$D$11)+$P104*N('Plan setup'!$D$12)+$Q104*N('Plan setup'!$D$13))</f>
        <v/>
      </c>
      <c r="S104" s="17">
        <f>IF($C104=1,0,$U103)</f>
        <v/>
      </c>
      <c r="T104" s="17">
        <f>MAX(0,$R104-$S104)</f>
        <v/>
      </c>
      <c r="U104" s="17">
        <f>$S104+$T104</f>
        <v/>
      </c>
      <c r="V104" s="17">
        <f>MAX(0,$U104-$R104)</f>
        <v/>
      </c>
      <c r="W104">
        <f>IF($B104="","",IF($L104&lt;=0,"Tier 1","Tier "&amp;COUNTIF('Plan setup'!$B$10:$B$13,"&lt;="&amp;$M104)))</f>
        <v/>
      </c>
      <c r="X104" s="16">
        <f>IF($L104&gt;0,$R104/$L104,0)</f>
        <v/>
      </c>
    </row>
    <row r="105">
      <c r="A105">
        <f>INT((ROW()-2)/12)+1</f>
        <v/>
      </c>
      <c r="B105">
        <f>IF(INDEX('Plan setup'!$A$25:$A$34,$A105)="","",INDEX('Plan setup'!$A$25:$A$34,$A105))</f>
        <v/>
      </c>
      <c r="C105">
        <f>MOD(ROW()-2,12)+1</f>
        <v/>
      </c>
      <c r="D105" s="24">
        <f>EDATE('Plan setup'!$B$3,$C105-1)</f>
        <v/>
      </c>
      <c r="E105" s="24">
        <f>EDATE('Plan setup'!$B$3,$C105)-1</f>
        <v/>
      </c>
      <c r="F105">
        <f>$B105&amp;"|"&amp;$C105</f>
        <v/>
      </c>
      <c r="G105" s="17">
        <f>IF($B105="",0,IFERROR(INDEX('Plan setup'!$C$25:$C$34,$A105)*1,0))</f>
        <v/>
      </c>
      <c r="H105" s="16">
        <f>IF($B105="",0,IFERROR(INDEX('Plan setup'!$E$25:$E$34,$A105)*1,0))</f>
        <v/>
      </c>
      <c r="I105" s="17">
        <f>IF($B105="",0,SUMIFS(Deals!$N$2:$N$301,Deals!$F$2:$F$301,$B105,Deals!$B$2:$B$301,"&gt;="&amp;$D105,Deals!$B$2:$B$301,"&lt;="&amp;$E105)+SUMIFS(Deals!$O$2:$O$301,Deals!$H$2:$H$301,$B105,Deals!$B$2:$B$301,"&gt;="&amp;$D105,Deals!$B$2:$B$301,"&lt;="&amp;$E105))</f>
        <v/>
      </c>
      <c r="J105" s="17">
        <f>IF($B105="",0,SUMIFS(Deals!$N$2:$N$301,Deals!$F$2:$F$301,$B105,Deals!$Q$2:$Q$301,"&gt;="&amp;$D105,Deals!$Q$2:$Q$301,"&lt;="&amp;$E105)+SUMIFS(Deals!$O$2:$O$301,Deals!$H$2:$H$301,$B105,Deals!$Q$2:$Q$301,"&gt;="&amp;$D105,Deals!$Q$2:$Q$301,"&lt;="&amp;$E105))</f>
        <v/>
      </c>
      <c r="K105" s="17">
        <f>$I105-$J105</f>
        <v/>
      </c>
      <c r="L105" s="17">
        <f>IF($C105=1,$K105,$L104+$K105)</f>
        <v/>
      </c>
      <c r="M105" s="25">
        <f>IF($G105&gt;0,$L105/$G105,0)</f>
        <v/>
      </c>
      <c r="N105" s="17">
        <f>IF('Plan setup'!$B$10="",0,MAX(0,MIN(MAX($L105,0),IF('Plan setup'!$C$10="",9E+15,'Plan setup'!$C$10*$G105))-'Plan setup'!$B$10*$G105))</f>
        <v/>
      </c>
      <c r="O105" s="17">
        <f>IF('Plan setup'!$B$11="",0,MAX(0,MIN(MAX($L105,0),IF('Plan setup'!$C$11="",9E+15,'Plan setup'!$C$11*$G105))-'Plan setup'!$B$11*$G105))</f>
        <v/>
      </c>
      <c r="P105" s="17">
        <f>IF('Plan setup'!$B$12="",0,MAX(0,MIN(MAX($L105,0),IF('Plan setup'!$C$12="",9E+15,'Plan setup'!$C$12*$G105))-'Plan setup'!$B$12*$G105))</f>
        <v/>
      </c>
      <c r="Q105" s="17">
        <f>IF('Plan setup'!$B$13="",0,MAX(0,MIN(MAX($L105,0),IF('Plan setup'!$C$13="",9E+15,'Plan setup'!$C$13*$G105))-'Plan setup'!$B$13*$G105))</f>
        <v/>
      </c>
      <c r="R105" s="17">
        <f>$H105*($N105*N('Plan setup'!$D$10)+$O105*N('Plan setup'!$D$11)+$P105*N('Plan setup'!$D$12)+$Q105*N('Plan setup'!$D$13))</f>
        <v/>
      </c>
      <c r="S105" s="17">
        <f>IF($C105=1,0,$U104)</f>
        <v/>
      </c>
      <c r="T105" s="17">
        <f>MAX(0,$R105-$S105)</f>
        <v/>
      </c>
      <c r="U105" s="17">
        <f>$S105+$T105</f>
        <v/>
      </c>
      <c r="V105" s="17">
        <f>MAX(0,$U105-$R105)</f>
        <v/>
      </c>
      <c r="W105">
        <f>IF($B105="","",IF($L105&lt;=0,"Tier 1","Tier "&amp;COUNTIF('Plan setup'!$B$10:$B$13,"&lt;="&amp;$M105)))</f>
        <v/>
      </c>
      <c r="X105" s="16">
        <f>IF($L105&gt;0,$R105/$L105,0)</f>
        <v/>
      </c>
    </row>
    <row r="106">
      <c r="A106">
        <f>INT((ROW()-2)/12)+1</f>
        <v/>
      </c>
      <c r="B106">
        <f>IF(INDEX('Plan setup'!$A$25:$A$34,$A106)="","",INDEX('Plan setup'!$A$25:$A$34,$A106))</f>
        <v/>
      </c>
      <c r="C106">
        <f>MOD(ROW()-2,12)+1</f>
        <v/>
      </c>
      <c r="D106" s="24">
        <f>EDATE('Plan setup'!$B$3,$C106-1)</f>
        <v/>
      </c>
      <c r="E106" s="24">
        <f>EDATE('Plan setup'!$B$3,$C106)-1</f>
        <v/>
      </c>
      <c r="F106">
        <f>$B106&amp;"|"&amp;$C106</f>
        <v/>
      </c>
      <c r="G106" s="17">
        <f>IF($B106="",0,IFERROR(INDEX('Plan setup'!$C$25:$C$34,$A106)*1,0))</f>
        <v/>
      </c>
      <c r="H106" s="16">
        <f>IF($B106="",0,IFERROR(INDEX('Plan setup'!$E$25:$E$34,$A106)*1,0))</f>
        <v/>
      </c>
      <c r="I106" s="17">
        <f>IF($B106="",0,SUMIFS(Deals!$N$2:$N$301,Deals!$F$2:$F$301,$B106,Deals!$B$2:$B$301,"&gt;="&amp;$D106,Deals!$B$2:$B$301,"&lt;="&amp;$E106)+SUMIFS(Deals!$O$2:$O$301,Deals!$H$2:$H$301,$B106,Deals!$B$2:$B$301,"&gt;="&amp;$D106,Deals!$B$2:$B$301,"&lt;="&amp;$E106))</f>
        <v/>
      </c>
      <c r="J106" s="17">
        <f>IF($B106="",0,SUMIFS(Deals!$N$2:$N$301,Deals!$F$2:$F$301,$B106,Deals!$Q$2:$Q$301,"&gt;="&amp;$D106,Deals!$Q$2:$Q$301,"&lt;="&amp;$E106)+SUMIFS(Deals!$O$2:$O$301,Deals!$H$2:$H$301,$B106,Deals!$Q$2:$Q$301,"&gt;="&amp;$D106,Deals!$Q$2:$Q$301,"&lt;="&amp;$E106))</f>
        <v/>
      </c>
      <c r="K106" s="17">
        <f>$I106-$J106</f>
        <v/>
      </c>
      <c r="L106" s="17">
        <f>IF($C106=1,$K106,$L105+$K106)</f>
        <v/>
      </c>
      <c r="M106" s="25">
        <f>IF($G106&gt;0,$L106/$G106,0)</f>
        <v/>
      </c>
      <c r="N106" s="17">
        <f>IF('Plan setup'!$B$10="",0,MAX(0,MIN(MAX($L106,0),IF('Plan setup'!$C$10="",9E+15,'Plan setup'!$C$10*$G106))-'Plan setup'!$B$10*$G106))</f>
        <v/>
      </c>
      <c r="O106" s="17">
        <f>IF('Plan setup'!$B$11="",0,MAX(0,MIN(MAX($L106,0),IF('Plan setup'!$C$11="",9E+15,'Plan setup'!$C$11*$G106))-'Plan setup'!$B$11*$G106))</f>
        <v/>
      </c>
      <c r="P106" s="17">
        <f>IF('Plan setup'!$B$12="",0,MAX(0,MIN(MAX($L106,0),IF('Plan setup'!$C$12="",9E+15,'Plan setup'!$C$12*$G106))-'Plan setup'!$B$12*$G106))</f>
        <v/>
      </c>
      <c r="Q106" s="17">
        <f>IF('Plan setup'!$B$13="",0,MAX(0,MIN(MAX($L106,0),IF('Plan setup'!$C$13="",9E+15,'Plan setup'!$C$13*$G106))-'Plan setup'!$B$13*$G106))</f>
        <v/>
      </c>
      <c r="R106" s="17">
        <f>$H106*($N106*N('Plan setup'!$D$10)+$O106*N('Plan setup'!$D$11)+$P106*N('Plan setup'!$D$12)+$Q106*N('Plan setup'!$D$13))</f>
        <v/>
      </c>
      <c r="S106" s="17">
        <f>IF($C106=1,0,$U105)</f>
        <v/>
      </c>
      <c r="T106" s="17">
        <f>MAX(0,$R106-$S106)</f>
        <v/>
      </c>
      <c r="U106" s="17">
        <f>$S106+$T106</f>
        <v/>
      </c>
      <c r="V106" s="17">
        <f>MAX(0,$U106-$R106)</f>
        <v/>
      </c>
      <c r="W106">
        <f>IF($B106="","",IF($L106&lt;=0,"Tier 1","Tier "&amp;COUNTIF('Plan setup'!$B$10:$B$13,"&lt;="&amp;$M106)))</f>
        <v/>
      </c>
      <c r="X106" s="16">
        <f>IF($L106&gt;0,$R106/$L106,0)</f>
        <v/>
      </c>
    </row>
    <row r="107">
      <c r="A107">
        <f>INT((ROW()-2)/12)+1</f>
        <v/>
      </c>
      <c r="B107">
        <f>IF(INDEX('Plan setup'!$A$25:$A$34,$A107)="","",INDEX('Plan setup'!$A$25:$A$34,$A107))</f>
        <v/>
      </c>
      <c r="C107">
        <f>MOD(ROW()-2,12)+1</f>
        <v/>
      </c>
      <c r="D107" s="24">
        <f>EDATE('Plan setup'!$B$3,$C107-1)</f>
        <v/>
      </c>
      <c r="E107" s="24">
        <f>EDATE('Plan setup'!$B$3,$C107)-1</f>
        <v/>
      </c>
      <c r="F107">
        <f>$B107&amp;"|"&amp;$C107</f>
        <v/>
      </c>
      <c r="G107" s="17">
        <f>IF($B107="",0,IFERROR(INDEX('Plan setup'!$C$25:$C$34,$A107)*1,0))</f>
        <v/>
      </c>
      <c r="H107" s="16">
        <f>IF($B107="",0,IFERROR(INDEX('Plan setup'!$E$25:$E$34,$A107)*1,0))</f>
        <v/>
      </c>
      <c r="I107" s="17">
        <f>IF($B107="",0,SUMIFS(Deals!$N$2:$N$301,Deals!$F$2:$F$301,$B107,Deals!$B$2:$B$301,"&gt;="&amp;$D107,Deals!$B$2:$B$301,"&lt;="&amp;$E107)+SUMIFS(Deals!$O$2:$O$301,Deals!$H$2:$H$301,$B107,Deals!$B$2:$B$301,"&gt;="&amp;$D107,Deals!$B$2:$B$301,"&lt;="&amp;$E107))</f>
        <v/>
      </c>
      <c r="J107" s="17">
        <f>IF($B107="",0,SUMIFS(Deals!$N$2:$N$301,Deals!$F$2:$F$301,$B107,Deals!$Q$2:$Q$301,"&gt;="&amp;$D107,Deals!$Q$2:$Q$301,"&lt;="&amp;$E107)+SUMIFS(Deals!$O$2:$O$301,Deals!$H$2:$H$301,$B107,Deals!$Q$2:$Q$301,"&gt;="&amp;$D107,Deals!$Q$2:$Q$301,"&lt;="&amp;$E107))</f>
        <v/>
      </c>
      <c r="K107" s="17">
        <f>$I107-$J107</f>
        <v/>
      </c>
      <c r="L107" s="17">
        <f>IF($C107=1,$K107,$L106+$K107)</f>
        <v/>
      </c>
      <c r="M107" s="25">
        <f>IF($G107&gt;0,$L107/$G107,0)</f>
        <v/>
      </c>
      <c r="N107" s="17">
        <f>IF('Plan setup'!$B$10="",0,MAX(0,MIN(MAX($L107,0),IF('Plan setup'!$C$10="",9E+15,'Plan setup'!$C$10*$G107))-'Plan setup'!$B$10*$G107))</f>
        <v/>
      </c>
      <c r="O107" s="17">
        <f>IF('Plan setup'!$B$11="",0,MAX(0,MIN(MAX($L107,0),IF('Plan setup'!$C$11="",9E+15,'Plan setup'!$C$11*$G107))-'Plan setup'!$B$11*$G107))</f>
        <v/>
      </c>
      <c r="P107" s="17">
        <f>IF('Plan setup'!$B$12="",0,MAX(0,MIN(MAX($L107,0),IF('Plan setup'!$C$12="",9E+15,'Plan setup'!$C$12*$G107))-'Plan setup'!$B$12*$G107))</f>
        <v/>
      </c>
      <c r="Q107" s="17">
        <f>IF('Plan setup'!$B$13="",0,MAX(0,MIN(MAX($L107,0),IF('Plan setup'!$C$13="",9E+15,'Plan setup'!$C$13*$G107))-'Plan setup'!$B$13*$G107))</f>
        <v/>
      </c>
      <c r="R107" s="17">
        <f>$H107*($N107*N('Plan setup'!$D$10)+$O107*N('Plan setup'!$D$11)+$P107*N('Plan setup'!$D$12)+$Q107*N('Plan setup'!$D$13))</f>
        <v/>
      </c>
      <c r="S107" s="17">
        <f>IF($C107=1,0,$U106)</f>
        <v/>
      </c>
      <c r="T107" s="17">
        <f>MAX(0,$R107-$S107)</f>
        <v/>
      </c>
      <c r="U107" s="17">
        <f>$S107+$T107</f>
        <v/>
      </c>
      <c r="V107" s="17">
        <f>MAX(0,$U107-$R107)</f>
        <v/>
      </c>
      <c r="W107">
        <f>IF($B107="","",IF($L107&lt;=0,"Tier 1","Tier "&amp;COUNTIF('Plan setup'!$B$10:$B$13,"&lt;="&amp;$M107)))</f>
        <v/>
      </c>
      <c r="X107" s="16">
        <f>IF($L107&gt;0,$R107/$L107,0)</f>
        <v/>
      </c>
    </row>
    <row r="108">
      <c r="A108">
        <f>INT((ROW()-2)/12)+1</f>
        <v/>
      </c>
      <c r="B108">
        <f>IF(INDEX('Plan setup'!$A$25:$A$34,$A108)="","",INDEX('Plan setup'!$A$25:$A$34,$A108))</f>
        <v/>
      </c>
      <c r="C108">
        <f>MOD(ROW()-2,12)+1</f>
        <v/>
      </c>
      <c r="D108" s="24">
        <f>EDATE('Plan setup'!$B$3,$C108-1)</f>
        <v/>
      </c>
      <c r="E108" s="24">
        <f>EDATE('Plan setup'!$B$3,$C108)-1</f>
        <v/>
      </c>
      <c r="F108">
        <f>$B108&amp;"|"&amp;$C108</f>
        <v/>
      </c>
      <c r="G108" s="17">
        <f>IF($B108="",0,IFERROR(INDEX('Plan setup'!$C$25:$C$34,$A108)*1,0))</f>
        <v/>
      </c>
      <c r="H108" s="16">
        <f>IF($B108="",0,IFERROR(INDEX('Plan setup'!$E$25:$E$34,$A108)*1,0))</f>
        <v/>
      </c>
      <c r="I108" s="17">
        <f>IF($B108="",0,SUMIFS(Deals!$N$2:$N$301,Deals!$F$2:$F$301,$B108,Deals!$B$2:$B$301,"&gt;="&amp;$D108,Deals!$B$2:$B$301,"&lt;="&amp;$E108)+SUMIFS(Deals!$O$2:$O$301,Deals!$H$2:$H$301,$B108,Deals!$B$2:$B$301,"&gt;="&amp;$D108,Deals!$B$2:$B$301,"&lt;="&amp;$E108))</f>
        <v/>
      </c>
      <c r="J108" s="17">
        <f>IF($B108="",0,SUMIFS(Deals!$N$2:$N$301,Deals!$F$2:$F$301,$B108,Deals!$Q$2:$Q$301,"&gt;="&amp;$D108,Deals!$Q$2:$Q$301,"&lt;="&amp;$E108)+SUMIFS(Deals!$O$2:$O$301,Deals!$H$2:$H$301,$B108,Deals!$Q$2:$Q$301,"&gt;="&amp;$D108,Deals!$Q$2:$Q$301,"&lt;="&amp;$E108))</f>
        <v/>
      </c>
      <c r="K108" s="17">
        <f>$I108-$J108</f>
        <v/>
      </c>
      <c r="L108" s="17">
        <f>IF($C108=1,$K108,$L107+$K108)</f>
        <v/>
      </c>
      <c r="M108" s="25">
        <f>IF($G108&gt;0,$L108/$G108,0)</f>
        <v/>
      </c>
      <c r="N108" s="17">
        <f>IF('Plan setup'!$B$10="",0,MAX(0,MIN(MAX($L108,0),IF('Plan setup'!$C$10="",9E+15,'Plan setup'!$C$10*$G108))-'Plan setup'!$B$10*$G108))</f>
        <v/>
      </c>
      <c r="O108" s="17">
        <f>IF('Plan setup'!$B$11="",0,MAX(0,MIN(MAX($L108,0),IF('Plan setup'!$C$11="",9E+15,'Plan setup'!$C$11*$G108))-'Plan setup'!$B$11*$G108))</f>
        <v/>
      </c>
      <c r="P108" s="17">
        <f>IF('Plan setup'!$B$12="",0,MAX(0,MIN(MAX($L108,0),IF('Plan setup'!$C$12="",9E+15,'Plan setup'!$C$12*$G108))-'Plan setup'!$B$12*$G108))</f>
        <v/>
      </c>
      <c r="Q108" s="17">
        <f>IF('Plan setup'!$B$13="",0,MAX(0,MIN(MAX($L108,0),IF('Plan setup'!$C$13="",9E+15,'Plan setup'!$C$13*$G108))-'Plan setup'!$B$13*$G108))</f>
        <v/>
      </c>
      <c r="R108" s="17">
        <f>$H108*($N108*N('Plan setup'!$D$10)+$O108*N('Plan setup'!$D$11)+$P108*N('Plan setup'!$D$12)+$Q108*N('Plan setup'!$D$13))</f>
        <v/>
      </c>
      <c r="S108" s="17">
        <f>IF($C108=1,0,$U107)</f>
        <v/>
      </c>
      <c r="T108" s="17">
        <f>MAX(0,$R108-$S108)</f>
        <v/>
      </c>
      <c r="U108" s="17">
        <f>$S108+$T108</f>
        <v/>
      </c>
      <c r="V108" s="17">
        <f>MAX(0,$U108-$R108)</f>
        <v/>
      </c>
      <c r="W108">
        <f>IF($B108="","",IF($L108&lt;=0,"Tier 1","Tier "&amp;COUNTIF('Plan setup'!$B$10:$B$13,"&lt;="&amp;$M108)))</f>
        <v/>
      </c>
      <c r="X108" s="16">
        <f>IF($L108&gt;0,$R108/$L108,0)</f>
        <v/>
      </c>
    </row>
    <row r="109">
      <c r="A109">
        <f>INT((ROW()-2)/12)+1</f>
        <v/>
      </c>
      <c r="B109">
        <f>IF(INDEX('Plan setup'!$A$25:$A$34,$A109)="","",INDEX('Plan setup'!$A$25:$A$34,$A109))</f>
        <v/>
      </c>
      <c r="C109">
        <f>MOD(ROW()-2,12)+1</f>
        <v/>
      </c>
      <c r="D109" s="24">
        <f>EDATE('Plan setup'!$B$3,$C109-1)</f>
        <v/>
      </c>
      <c r="E109" s="24">
        <f>EDATE('Plan setup'!$B$3,$C109)-1</f>
        <v/>
      </c>
      <c r="F109">
        <f>$B109&amp;"|"&amp;$C109</f>
        <v/>
      </c>
      <c r="G109" s="17">
        <f>IF($B109="",0,IFERROR(INDEX('Plan setup'!$C$25:$C$34,$A109)*1,0))</f>
        <v/>
      </c>
      <c r="H109" s="16">
        <f>IF($B109="",0,IFERROR(INDEX('Plan setup'!$E$25:$E$34,$A109)*1,0))</f>
        <v/>
      </c>
      <c r="I109" s="17">
        <f>IF($B109="",0,SUMIFS(Deals!$N$2:$N$301,Deals!$F$2:$F$301,$B109,Deals!$B$2:$B$301,"&gt;="&amp;$D109,Deals!$B$2:$B$301,"&lt;="&amp;$E109)+SUMIFS(Deals!$O$2:$O$301,Deals!$H$2:$H$301,$B109,Deals!$B$2:$B$301,"&gt;="&amp;$D109,Deals!$B$2:$B$301,"&lt;="&amp;$E109))</f>
        <v/>
      </c>
      <c r="J109" s="17">
        <f>IF($B109="",0,SUMIFS(Deals!$N$2:$N$301,Deals!$F$2:$F$301,$B109,Deals!$Q$2:$Q$301,"&gt;="&amp;$D109,Deals!$Q$2:$Q$301,"&lt;="&amp;$E109)+SUMIFS(Deals!$O$2:$O$301,Deals!$H$2:$H$301,$B109,Deals!$Q$2:$Q$301,"&gt;="&amp;$D109,Deals!$Q$2:$Q$301,"&lt;="&amp;$E109))</f>
        <v/>
      </c>
      <c r="K109" s="17">
        <f>$I109-$J109</f>
        <v/>
      </c>
      <c r="L109" s="17">
        <f>IF($C109=1,$K109,$L108+$K109)</f>
        <v/>
      </c>
      <c r="M109" s="25">
        <f>IF($G109&gt;0,$L109/$G109,0)</f>
        <v/>
      </c>
      <c r="N109" s="17">
        <f>IF('Plan setup'!$B$10="",0,MAX(0,MIN(MAX($L109,0),IF('Plan setup'!$C$10="",9E+15,'Plan setup'!$C$10*$G109))-'Plan setup'!$B$10*$G109))</f>
        <v/>
      </c>
      <c r="O109" s="17">
        <f>IF('Plan setup'!$B$11="",0,MAX(0,MIN(MAX($L109,0),IF('Plan setup'!$C$11="",9E+15,'Plan setup'!$C$11*$G109))-'Plan setup'!$B$11*$G109))</f>
        <v/>
      </c>
      <c r="P109" s="17">
        <f>IF('Plan setup'!$B$12="",0,MAX(0,MIN(MAX($L109,0),IF('Plan setup'!$C$12="",9E+15,'Plan setup'!$C$12*$G109))-'Plan setup'!$B$12*$G109))</f>
        <v/>
      </c>
      <c r="Q109" s="17">
        <f>IF('Plan setup'!$B$13="",0,MAX(0,MIN(MAX($L109,0),IF('Plan setup'!$C$13="",9E+15,'Plan setup'!$C$13*$G109))-'Plan setup'!$B$13*$G109))</f>
        <v/>
      </c>
      <c r="R109" s="17">
        <f>$H109*($N109*N('Plan setup'!$D$10)+$O109*N('Plan setup'!$D$11)+$P109*N('Plan setup'!$D$12)+$Q109*N('Plan setup'!$D$13))</f>
        <v/>
      </c>
      <c r="S109" s="17">
        <f>IF($C109=1,0,$U108)</f>
        <v/>
      </c>
      <c r="T109" s="17">
        <f>MAX(0,$R109-$S109)</f>
        <v/>
      </c>
      <c r="U109" s="17">
        <f>$S109+$T109</f>
        <v/>
      </c>
      <c r="V109" s="17">
        <f>MAX(0,$U109-$R109)</f>
        <v/>
      </c>
      <c r="W109">
        <f>IF($B109="","",IF($L109&lt;=0,"Tier 1","Tier "&amp;COUNTIF('Plan setup'!$B$10:$B$13,"&lt;="&amp;$M109)))</f>
        <v/>
      </c>
      <c r="X109" s="16">
        <f>IF($L109&gt;0,$R109/$L109,0)</f>
        <v/>
      </c>
    </row>
    <row r="110">
      <c r="A110">
        <f>INT((ROW()-2)/12)+1</f>
        <v/>
      </c>
      <c r="B110">
        <f>IF(INDEX('Plan setup'!$A$25:$A$34,$A110)="","",INDEX('Plan setup'!$A$25:$A$34,$A110))</f>
        <v/>
      </c>
      <c r="C110">
        <f>MOD(ROW()-2,12)+1</f>
        <v/>
      </c>
      <c r="D110" s="24">
        <f>EDATE('Plan setup'!$B$3,$C110-1)</f>
        <v/>
      </c>
      <c r="E110" s="24">
        <f>EDATE('Plan setup'!$B$3,$C110)-1</f>
        <v/>
      </c>
      <c r="F110">
        <f>$B110&amp;"|"&amp;$C110</f>
        <v/>
      </c>
      <c r="G110" s="17">
        <f>IF($B110="",0,IFERROR(INDEX('Plan setup'!$C$25:$C$34,$A110)*1,0))</f>
        <v/>
      </c>
      <c r="H110" s="16">
        <f>IF($B110="",0,IFERROR(INDEX('Plan setup'!$E$25:$E$34,$A110)*1,0))</f>
        <v/>
      </c>
      <c r="I110" s="17">
        <f>IF($B110="",0,SUMIFS(Deals!$N$2:$N$301,Deals!$F$2:$F$301,$B110,Deals!$B$2:$B$301,"&gt;="&amp;$D110,Deals!$B$2:$B$301,"&lt;="&amp;$E110)+SUMIFS(Deals!$O$2:$O$301,Deals!$H$2:$H$301,$B110,Deals!$B$2:$B$301,"&gt;="&amp;$D110,Deals!$B$2:$B$301,"&lt;="&amp;$E110))</f>
        <v/>
      </c>
      <c r="J110" s="17">
        <f>IF($B110="",0,SUMIFS(Deals!$N$2:$N$301,Deals!$F$2:$F$301,$B110,Deals!$Q$2:$Q$301,"&gt;="&amp;$D110,Deals!$Q$2:$Q$301,"&lt;="&amp;$E110)+SUMIFS(Deals!$O$2:$O$301,Deals!$H$2:$H$301,$B110,Deals!$Q$2:$Q$301,"&gt;="&amp;$D110,Deals!$Q$2:$Q$301,"&lt;="&amp;$E110))</f>
        <v/>
      </c>
      <c r="K110" s="17">
        <f>$I110-$J110</f>
        <v/>
      </c>
      <c r="L110" s="17">
        <f>IF($C110=1,$K110,$L109+$K110)</f>
        <v/>
      </c>
      <c r="M110" s="25">
        <f>IF($G110&gt;0,$L110/$G110,0)</f>
        <v/>
      </c>
      <c r="N110" s="17">
        <f>IF('Plan setup'!$B$10="",0,MAX(0,MIN(MAX($L110,0),IF('Plan setup'!$C$10="",9E+15,'Plan setup'!$C$10*$G110))-'Plan setup'!$B$10*$G110))</f>
        <v/>
      </c>
      <c r="O110" s="17">
        <f>IF('Plan setup'!$B$11="",0,MAX(0,MIN(MAX($L110,0),IF('Plan setup'!$C$11="",9E+15,'Plan setup'!$C$11*$G110))-'Plan setup'!$B$11*$G110))</f>
        <v/>
      </c>
      <c r="P110" s="17">
        <f>IF('Plan setup'!$B$12="",0,MAX(0,MIN(MAX($L110,0),IF('Plan setup'!$C$12="",9E+15,'Plan setup'!$C$12*$G110))-'Plan setup'!$B$12*$G110))</f>
        <v/>
      </c>
      <c r="Q110" s="17">
        <f>IF('Plan setup'!$B$13="",0,MAX(0,MIN(MAX($L110,0),IF('Plan setup'!$C$13="",9E+15,'Plan setup'!$C$13*$G110))-'Plan setup'!$B$13*$G110))</f>
        <v/>
      </c>
      <c r="R110" s="17">
        <f>$H110*($N110*N('Plan setup'!$D$10)+$O110*N('Plan setup'!$D$11)+$P110*N('Plan setup'!$D$12)+$Q110*N('Plan setup'!$D$13))</f>
        <v/>
      </c>
      <c r="S110" s="17">
        <f>IF($C110=1,0,$U109)</f>
        <v/>
      </c>
      <c r="T110" s="17">
        <f>MAX(0,$R110-$S110)</f>
        <v/>
      </c>
      <c r="U110" s="17">
        <f>$S110+$T110</f>
        <v/>
      </c>
      <c r="V110" s="17">
        <f>MAX(0,$U110-$R110)</f>
        <v/>
      </c>
      <c r="W110">
        <f>IF($B110="","",IF($L110&lt;=0,"Tier 1","Tier "&amp;COUNTIF('Plan setup'!$B$10:$B$13,"&lt;="&amp;$M110)))</f>
        <v/>
      </c>
      <c r="X110" s="16">
        <f>IF($L110&gt;0,$R110/$L110,0)</f>
        <v/>
      </c>
    </row>
    <row r="111">
      <c r="A111">
        <f>INT((ROW()-2)/12)+1</f>
        <v/>
      </c>
      <c r="B111">
        <f>IF(INDEX('Plan setup'!$A$25:$A$34,$A111)="","",INDEX('Plan setup'!$A$25:$A$34,$A111))</f>
        <v/>
      </c>
      <c r="C111">
        <f>MOD(ROW()-2,12)+1</f>
        <v/>
      </c>
      <c r="D111" s="24">
        <f>EDATE('Plan setup'!$B$3,$C111-1)</f>
        <v/>
      </c>
      <c r="E111" s="24">
        <f>EDATE('Plan setup'!$B$3,$C111)-1</f>
        <v/>
      </c>
      <c r="F111">
        <f>$B111&amp;"|"&amp;$C111</f>
        <v/>
      </c>
      <c r="G111" s="17">
        <f>IF($B111="",0,IFERROR(INDEX('Plan setup'!$C$25:$C$34,$A111)*1,0))</f>
        <v/>
      </c>
      <c r="H111" s="16">
        <f>IF($B111="",0,IFERROR(INDEX('Plan setup'!$E$25:$E$34,$A111)*1,0))</f>
        <v/>
      </c>
      <c r="I111" s="17">
        <f>IF($B111="",0,SUMIFS(Deals!$N$2:$N$301,Deals!$F$2:$F$301,$B111,Deals!$B$2:$B$301,"&gt;="&amp;$D111,Deals!$B$2:$B$301,"&lt;="&amp;$E111)+SUMIFS(Deals!$O$2:$O$301,Deals!$H$2:$H$301,$B111,Deals!$B$2:$B$301,"&gt;="&amp;$D111,Deals!$B$2:$B$301,"&lt;="&amp;$E111))</f>
        <v/>
      </c>
      <c r="J111" s="17">
        <f>IF($B111="",0,SUMIFS(Deals!$N$2:$N$301,Deals!$F$2:$F$301,$B111,Deals!$Q$2:$Q$301,"&gt;="&amp;$D111,Deals!$Q$2:$Q$301,"&lt;="&amp;$E111)+SUMIFS(Deals!$O$2:$O$301,Deals!$H$2:$H$301,$B111,Deals!$Q$2:$Q$301,"&gt;="&amp;$D111,Deals!$Q$2:$Q$301,"&lt;="&amp;$E111))</f>
        <v/>
      </c>
      <c r="K111" s="17">
        <f>$I111-$J111</f>
        <v/>
      </c>
      <c r="L111" s="17">
        <f>IF($C111=1,$K111,$L110+$K111)</f>
        <v/>
      </c>
      <c r="M111" s="25">
        <f>IF($G111&gt;0,$L111/$G111,0)</f>
        <v/>
      </c>
      <c r="N111" s="17">
        <f>IF('Plan setup'!$B$10="",0,MAX(0,MIN(MAX($L111,0),IF('Plan setup'!$C$10="",9E+15,'Plan setup'!$C$10*$G111))-'Plan setup'!$B$10*$G111))</f>
        <v/>
      </c>
      <c r="O111" s="17">
        <f>IF('Plan setup'!$B$11="",0,MAX(0,MIN(MAX($L111,0),IF('Plan setup'!$C$11="",9E+15,'Plan setup'!$C$11*$G111))-'Plan setup'!$B$11*$G111))</f>
        <v/>
      </c>
      <c r="P111" s="17">
        <f>IF('Plan setup'!$B$12="",0,MAX(0,MIN(MAX($L111,0),IF('Plan setup'!$C$12="",9E+15,'Plan setup'!$C$12*$G111))-'Plan setup'!$B$12*$G111))</f>
        <v/>
      </c>
      <c r="Q111" s="17">
        <f>IF('Plan setup'!$B$13="",0,MAX(0,MIN(MAX($L111,0),IF('Plan setup'!$C$13="",9E+15,'Plan setup'!$C$13*$G111))-'Plan setup'!$B$13*$G111))</f>
        <v/>
      </c>
      <c r="R111" s="17">
        <f>$H111*($N111*N('Plan setup'!$D$10)+$O111*N('Plan setup'!$D$11)+$P111*N('Plan setup'!$D$12)+$Q111*N('Plan setup'!$D$13))</f>
        <v/>
      </c>
      <c r="S111" s="17">
        <f>IF($C111=1,0,$U110)</f>
        <v/>
      </c>
      <c r="T111" s="17">
        <f>MAX(0,$R111-$S111)</f>
        <v/>
      </c>
      <c r="U111" s="17">
        <f>$S111+$T111</f>
        <v/>
      </c>
      <c r="V111" s="17">
        <f>MAX(0,$U111-$R111)</f>
        <v/>
      </c>
      <c r="W111">
        <f>IF($B111="","",IF($L111&lt;=0,"Tier 1","Tier "&amp;COUNTIF('Plan setup'!$B$10:$B$13,"&lt;="&amp;$M111)))</f>
        <v/>
      </c>
      <c r="X111" s="16">
        <f>IF($L111&gt;0,$R111/$L111,0)</f>
        <v/>
      </c>
    </row>
    <row r="112">
      <c r="A112">
        <f>INT((ROW()-2)/12)+1</f>
        <v/>
      </c>
      <c r="B112">
        <f>IF(INDEX('Plan setup'!$A$25:$A$34,$A112)="","",INDEX('Plan setup'!$A$25:$A$34,$A112))</f>
        <v/>
      </c>
      <c r="C112">
        <f>MOD(ROW()-2,12)+1</f>
        <v/>
      </c>
      <c r="D112" s="24">
        <f>EDATE('Plan setup'!$B$3,$C112-1)</f>
        <v/>
      </c>
      <c r="E112" s="24">
        <f>EDATE('Plan setup'!$B$3,$C112)-1</f>
        <v/>
      </c>
      <c r="F112">
        <f>$B112&amp;"|"&amp;$C112</f>
        <v/>
      </c>
      <c r="G112" s="17">
        <f>IF($B112="",0,IFERROR(INDEX('Plan setup'!$C$25:$C$34,$A112)*1,0))</f>
        <v/>
      </c>
      <c r="H112" s="16">
        <f>IF($B112="",0,IFERROR(INDEX('Plan setup'!$E$25:$E$34,$A112)*1,0))</f>
        <v/>
      </c>
      <c r="I112" s="17">
        <f>IF($B112="",0,SUMIFS(Deals!$N$2:$N$301,Deals!$F$2:$F$301,$B112,Deals!$B$2:$B$301,"&gt;="&amp;$D112,Deals!$B$2:$B$301,"&lt;="&amp;$E112)+SUMIFS(Deals!$O$2:$O$301,Deals!$H$2:$H$301,$B112,Deals!$B$2:$B$301,"&gt;="&amp;$D112,Deals!$B$2:$B$301,"&lt;="&amp;$E112))</f>
        <v/>
      </c>
      <c r="J112" s="17">
        <f>IF($B112="",0,SUMIFS(Deals!$N$2:$N$301,Deals!$F$2:$F$301,$B112,Deals!$Q$2:$Q$301,"&gt;="&amp;$D112,Deals!$Q$2:$Q$301,"&lt;="&amp;$E112)+SUMIFS(Deals!$O$2:$O$301,Deals!$H$2:$H$301,$B112,Deals!$Q$2:$Q$301,"&gt;="&amp;$D112,Deals!$Q$2:$Q$301,"&lt;="&amp;$E112))</f>
        <v/>
      </c>
      <c r="K112" s="17">
        <f>$I112-$J112</f>
        <v/>
      </c>
      <c r="L112" s="17">
        <f>IF($C112=1,$K112,$L111+$K112)</f>
        <v/>
      </c>
      <c r="M112" s="25">
        <f>IF($G112&gt;0,$L112/$G112,0)</f>
        <v/>
      </c>
      <c r="N112" s="17">
        <f>IF('Plan setup'!$B$10="",0,MAX(0,MIN(MAX($L112,0),IF('Plan setup'!$C$10="",9E+15,'Plan setup'!$C$10*$G112))-'Plan setup'!$B$10*$G112))</f>
        <v/>
      </c>
      <c r="O112" s="17">
        <f>IF('Plan setup'!$B$11="",0,MAX(0,MIN(MAX($L112,0),IF('Plan setup'!$C$11="",9E+15,'Plan setup'!$C$11*$G112))-'Plan setup'!$B$11*$G112))</f>
        <v/>
      </c>
      <c r="P112" s="17">
        <f>IF('Plan setup'!$B$12="",0,MAX(0,MIN(MAX($L112,0),IF('Plan setup'!$C$12="",9E+15,'Plan setup'!$C$12*$G112))-'Plan setup'!$B$12*$G112))</f>
        <v/>
      </c>
      <c r="Q112" s="17">
        <f>IF('Plan setup'!$B$13="",0,MAX(0,MIN(MAX($L112,0),IF('Plan setup'!$C$13="",9E+15,'Plan setup'!$C$13*$G112))-'Plan setup'!$B$13*$G112))</f>
        <v/>
      </c>
      <c r="R112" s="17">
        <f>$H112*($N112*N('Plan setup'!$D$10)+$O112*N('Plan setup'!$D$11)+$P112*N('Plan setup'!$D$12)+$Q112*N('Plan setup'!$D$13))</f>
        <v/>
      </c>
      <c r="S112" s="17">
        <f>IF($C112=1,0,$U111)</f>
        <v/>
      </c>
      <c r="T112" s="17">
        <f>MAX(0,$R112-$S112)</f>
        <v/>
      </c>
      <c r="U112" s="17">
        <f>$S112+$T112</f>
        <v/>
      </c>
      <c r="V112" s="17">
        <f>MAX(0,$U112-$R112)</f>
        <v/>
      </c>
      <c r="W112">
        <f>IF($B112="","",IF($L112&lt;=0,"Tier 1","Tier "&amp;COUNTIF('Plan setup'!$B$10:$B$13,"&lt;="&amp;$M112)))</f>
        <v/>
      </c>
      <c r="X112" s="16">
        <f>IF($L112&gt;0,$R112/$L112,0)</f>
        <v/>
      </c>
    </row>
    <row r="113">
      <c r="A113">
        <f>INT((ROW()-2)/12)+1</f>
        <v/>
      </c>
      <c r="B113">
        <f>IF(INDEX('Plan setup'!$A$25:$A$34,$A113)="","",INDEX('Plan setup'!$A$25:$A$34,$A113))</f>
        <v/>
      </c>
      <c r="C113">
        <f>MOD(ROW()-2,12)+1</f>
        <v/>
      </c>
      <c r="D113" s="24">
        <f>EDATE('Plan setup'!$B$3,$C113-1)</f>
        <v/>
      </c>
      <c r="E113" s="24">
        <f>EDATE('Plan setup'!$B$3,$C113)-1</f>
        <v/>
      </c>
      <c r="F113">
        <f>$B113&amp;"|"&amp;$C113</f>
        <v/>
      </c>
      <c r="G113" s="17">
        <f>IF($B113="",0,IFERROR(INDEX('Plan setup'!$C$25:$C$34,$A113)*1,0))</f>
        <v/>
      </c>
      <c r="H113" s="16">
        <f>IF($B113="",0,IFERROR(INDEX('Plan setup'!$E$25:$E$34,$A113)*1,0))</f>
        <v/>
      </c>
      <c r="I113" s="17">
        <f>IF($B113="",0,SUMIFS(Deals!$N$2:$N$301,Deals!$F$2:$F$301,$B113,Deals!$B$2:$B$301,"&gt;="&amp;$D113,Deals!$B$2:$B$301,"&lt;="&amp;$E113)+SUMIFS(Deals!$O$2:$O$301,Deals!$H$2:$H$301,$B113,Deals!$B$2:$B$301,"&gt;="&amp;$D113,Deals!$B$2:$B$301,"&lt;="&amp;$E113))</f>
        <v/>
      </c>
      <c r="J113" s="17">
        <f>IF($B113="",0,SUMIFS(Deals!$N$2:$N$301,Deals!$F$2:$F$301,$B113,Deals!$Q$2:$Q$301,"&gt;="&amp;$D113,Deals!$Q$2:$Q$301,"&lt;="&amp;$E113)+SUMIFS(Deals!$O$2:$O$301,Deals!$H$2:$H$301,$B113,Deals!$Q$2:$Q$301,"&gt;="&amp;$D113,Deals!$Q$2:$Q$301,"&lt;="&amp;$E113))</f>
        <v/>
      </c>
      <c r="K113" s="17">
        <f>$I113-$J113</f>
        <v/>
      </c>
      <c r="L113" s="17">
        <f>IF($C113=1,$K113,$L112+$K113)</f>
        <v/>
      </c>
      <c r="M113" s="25">
        <f>IF($G113&gt;0,$L113/$G113,0)</f>
        <v/>
      </c>
      <c r="N113" s="17">
        <f>IF('Plan setup'!$B$10="",0,MAX(0,MIN(MAX($L113,0),IF('Plan setup'!$C$10="",9E+15,'Plan setup'!$C$10*$G113))-'Plan setup'!$B$10*$G113))</f>
        <v/>
      </c>
      <c r="O113" s="17">
        <f>IF('Plan setup'!$B$11="",0,MAX(0,MIN(MAX($L113,0),IF('Plan setup'!$C$11="",9E+15,'Plan setup'!$C$11*$G113))-'Plan setup'!$B$11*$G113))</f>
        <v/>
      </c>
      <c r="P113" s="17">
        <f>IF('Plan setup'!$B$12="",0,MAX(0,MIN(MAX($L113,0),IF('Plan setup'!$C$12="",9E+15,'Plan setup'!$C$12*$G113))-'Plan setup'!$B$12*$G113))</f>
        <v/>
      </c>
      <c r="Q113" s="17">
        <f>IF('Plan setup'!$B$13="",0,MAX(0,MIN(MAX($L113,0),IF('Plan setup'!$C$13="",9E+15,'Plan setup'!$C$13*$G113))-'Plan setup'!$B$13*$G113))</f>
        <v/>
      </c>
      <c r="R113" s="17">
        <f>$H113*($N113*N('Plan setup'!$D$10)+$O113*N('Plan setup'!$D$11)+$P113*N('Plan setup'!$D$12)+$Q113*N('Plan setup'!$D$13))</f>
        <v/>
      </c>
      <c r="S113" s="17">
        <f>IF($C113=1,0,$U112)</f>
        <v/>
      </c>
      <c r="T113" s="17">
        <f>MAX(0,$R113-$S113)</f>
        <v/>
      </c>
      <c r="U113" s="17">
        <f>$S113+$T113</f>
        <v/>
      </c>
      <c r="V113" s="17">
        <f>MAX(0,$U113-$R113)</f>
        <v/>
      </c>
      <c r="W113">
        <f>IF($B113="","",IF($L113&lt;=0,"Tier 1","Tier "&amp;COUNTIF('Plan setup'!$B$10:$B$13,"&lt;="&amp;$M113)))</f>
        <v/>
      </c>
      <c r="X113" s="16">
        <f>IF($L113&gt;0,$R113/$L113,0)</f>
        <v/>
      </c>
    </row>
    <row r="114">
      <c r="A114">
        <f>INT((ROW()-2)/12)+1</f>
        <v/>
      </c>
      <c r="B114">
        <f>IF(INDEX('Plan setup'!$A$25:$A$34,$A114)="","",INDEX('Plan setup'!$A$25:$A$34,$A114))</f>
        <v/>
      </c>
      <c r="C114">
        <f>MOD(ROW()-2,12)+1</f>
        <v/>
      </c>
      <c r="D114" s="24">
        <f>EDATE('Plan setup'!$B$3,$C114-1)</f>
        <v/>
      </c>
      <c r="E114" s="24">
        <f>EDATE('Plan setup'!$B$3,$C114)-1</f>
        <v/>
      </c>
      <c r="F114">
        <f>$B114&amp;"|"&amp;$C114</f>
        <v/>
      </c>
      <c r="G114" s="17">
        <f>IF($B114="",0,IFERROR(INDEX('Plan setup'!$C$25:$C$34,$A114)*1,0))</f>
        <v/>
      </c>
      <c r="H114" s="16">
        <f>IF($B114="",0,IFERROR(INDEX('Plan setup'!$E$25:$E$34,$A114)*1,0))</f>
        <v/>
      </c>
      <c r="I114" s="17">
        <f>IF($B114="",0,SUMIFS(Deals!$N$2:$N$301,Deals!$F$2:$F$301,$B114,Deals!$B$2:$B$301,"&gt;="&amp;$D114,Deals!$B$2:$B$301,"&lt;="&amp;$E114)+SUMIFS(Deals!$O$2:$O$301,Deals!$H$2:$H$301,$B114,Deals!$B$2:$B$301,"&gt;="&amp;$D114,Deals!$B$2:$B$301,"&lt;="&amp;$E114))</f>
        <v/>
      </c>
      <c r="J114" s="17">
        <f>IF($B114="",0,SUMIFS(Deals!$N$2:$N$301,Deals!$F$2:$F$301,$B114,Deals!$Q$2:$Q$301,"&gt;="&amp;$D114,Deals!$Q$2:$Q$301,"&lt;="&amp;$E114)+SUMIFS(Deals!$O$2:$O$301,Deals!$H$2:$H$301,$B114,Deals!$Q$2:$Q$301,"&gt;="&amp;$D114,Deals!$Q$2:$Q$301,"&lt;="&amp;$E114))</f>
        <v/>
      </c>
      <c r="K114" s="17">
        <f>$I114-$J114</f>
        <v/>
      </c>
      <c r="L114" s="17">
        <f>IF($C114=1,$K114,$L113+$K114)</f>
        <v/>
      </c>
      <c r="M114" s="25">
        <f>IF($G114&gt;0,$L114/$G114,0)</f>
        <v/>
      </c>
      <c r="N114" s="17">
        <f>IF('Plan setup'!$B$10="",0,MAX(0,MIN(MAX($L114,0),IF('Plan setup'!$C$10="",9E+15,'Plan setup'!$C$10*$G114))-'Plan setup'!$B$10*$G114))</f>
        <v/>
      </c>
      <c r="O114" s="17">
        <f>IF('Plan setup'!$B$11="",0,MAX(0,MIN(MAX($L114,0),IF('Plan setup'!$C$11="",9E+15,'Plan setup'!$C$11*$G114))-'Plan setup'!$B$11*$G114))</f>
        <v/>
      </c>
      <c r="P114" s="17">
        <f>IF('Plan setup'!$B$12="",0,MAX(0,MIN(MAX($L114,0),IF('Plan setup'!$C$12="",9E+15,'Plan setup'!$C$12*$G114))-'Plan setup'!$B$12*$G114))</f>
        <v/>
      </c>
      <c r="Q114" s="17">
        <f>IF('Plan setup'!$B$13="",0,MAX(0,MIN(MAX($L114,0),IF('Plan setup'!$C$13="",9E+15,'Plan setup'!$C$13*$G114))-'Plan setup'!$B$13*$G114))</f>
        <v/>
      </c>
      <c r="R114" s="17">
        <f>$H114*($N114*N('Plan setup'!$D$10)+$O114*N('Plan setup'!$D$11)+$P114*N('Plan setup'!$D$12)+$Q114*N('Plan setup'!$D$13))</f>
        <v/>
      </c>
      <c r="S114" s="17">
        <f>IF($C114=1,0,$U113)</f>
        <v/>
      </c>
      <c r="T114" s="17">
        <f>MAX(0,$R114-$S114)</f>
        <v/>
      </c>
      <c r="U114" s="17">
        <f>$S114+$T114</f>
        <v/>
      </c>
      <c r="V114" s="17">
        <f>MAX(0,$U114-$R114)</f>
        <v/>
      </c>
      <c r="W114">
        <f>IF($B114="","",IF($L114&lt;=0,"Tier 1","Tier "&amp;COUNTIF('Plan setup'!$B$10:$B$13,"&lt;="&amp;$M114)))</f>
        <v/>
      </c>
      <c r="X114" s="16">
        <f>IF($L114&gt;0,$R114/$L114,0)</f>
        <v/>
      </c>
    </row>
    <row r="115">
      <c r="A115">
        <f>INT((ROW()-2)/12)+1</f>
        <v/>
      </c>
      <c r="B115">
        <f>IF(INDEX('Plan setup'!$A$25:$A$34,$A115)="","",INDEX('Plan setup'!$A$25:$A$34,$A115))</f>
        <v/>
      </c>
      <c r="C115">
        <f>MOD(ROW()-2,12)+1</f>
        <v/>
      </c>
      <c r="D115" s="24">
        <f>EDATE('Plan setup'!$B$3,$C115-1)</f>
        <v/>
      </c>
      <c r="E115" s="24">
        <f>EDATE('Plan setup'!$B$3,$C115)-1</f>
        <v/>
      </c>
      <c r="F115">
        <f>$B115&amp;"|"&amp;$C115</f>
        <v/>
      </c>
      <c r="G115" s="17">
        <f>IF($B115="",0,IFERROR(INDEX('Plan setup'!$C$25:$C$34,$A115)*1,0))</f>
        <v/>
      </c>
      <c r="H115" s="16">
        <f>IF($B115="",0,IFERROR(INDEX('Plan setup'!$E$25:$E$34,$A115)*1,0))</f>
        <v/>
      </c>
      <c r="I115" s="17">
        <f>IF($B115="",0,SUMIFS(Deals!$N$2:$N$301,Deals!$F$2:$F$301,$B115,Deals!$B$2:$B$301,"&gt;="&amp;$D115,Deals!$B$2:$B$301,"&lt;="&amp;$E115)+SUMIFS(Deals!$O$2:$O$301,Deals!$H$2:$H$301,$B115,Deals!$B$2:$B$301,"&gt;="&amp;$D115,Deals!$B$2:$B$301,"&lt;="&amp;$E115))</f>
        <v/>
      </c>
      <c r="J115" s="17">
        <f>IF($B115="",0,SUMIFS(Deals!$N$2:$N$301,Deals!$F$2:$F$301,$B115,Deals!$Q$2:$Q$301,"&gt;="&amp;$D115,Deals!$Q$2:$Q$301,"&lt;="&amp;$E115)+SUMIFS(Deals!$O$2:$O$301,Deals!$H$2:$H$301,$B115,Deals!$Q$2:$Q$301,"&gt;="&amp;$D115,Deals!$Q$2:$Q$301,"&lt;="&amp;$E115))</f>
        <v/>
      </c>
      <c r="K115" s="17">
        <f>$I115-$J115</f>
        <v/>
      </c>
      <c r="L115" s="17">
        <f>IF($C115=1,$K115,$L114+$K115)</f>
        <v/>
      </c>
      <c r="M115" s="25">
        <f>IF($G115&gt;0,$L115/$G115,0)</f>
        <v/>
      </c>
      <c r="N115" s="17">
        <f>IF('Plan setup'!$B$10="",0,MAX(0,MIN(MAX($L115,0),IF('Plan setup'!$C$10="",9E+15,'Plan setup'!$C$10*$G115))-'Plan setup'!$B$10*$G115))</f>
        <v/>
      </c>
      <c r="O115" s="17">
        <f>IF('Plan setup'!$B$11="",0,MAX(0,MIN(MAX($L115,0),IF('Plan setup'!$C$11="",9E+15,'Plan setup'!$C$11*$G115))-'Plan setup'!$B$11*$G115))</f>
        <v/>
      </c>
      <c r="P115" s="17">
        <f>IF('Plan setup'!$B$12="",0,MAX(0,MIN(MAX($L115,0),IF('Plan setup'!$C$12="",9E+15,'Plan setup'!$C$12*$G115))-'Plan setup'!$B$12*$G115))</f>
        <v/>
      </c>
      <c r="Q115" s="17">
        <f>IF('Plan setup'!$B$13="",0,MAX(0,MIN(MAX($L115,0),IF('Plan setup'!$C$13="",9E+15,'Plan setup'!$C$13*$G115))-'Plan setup'!$B$13*$G115))</f>
        <v/>
      </c>
      <c r="R115" s="17">
        <f>$H115*($N115*N('Plan setup'!$D$10)+$O115*N('Plan setup'!$D$11)+$P115*N('Plan setup'!$D$12)+$Q115*N('Plan setup'!$D$13))</f>
        <v/>
      </c>
      <c r="S115" s="17">
        <f>IF($C115=1,0,$U114)</f>
        <v/>
      </c>
      <c r="T115" s="17">
        <f>MAX(0,$R115-$S115)</f>
        <v/>
      </c>
      <c r="U115" s="17">
        <f>$S115+$T115</f>
        <v/>
      </c>
      <c r="V115" s="17">
        <f>MAX(0,$U115-$R115)</f>
        <v/>
      </c>
      <c r="W115">
        <f>IF($B115="","",IF($L115&lt;=0,"Tier 1","Tier "&amp;COUNTIF('Plan setup'!$B$10:$B$13,"&lt;="&amp;$M115)))</f>
        <v/>
      </c>
      <c r="X115" s="16">
        <f>IF($L115&gt;0,$R115/$L115,0)</f>
        <v/>
      </c>
    </row>
    <row r="116">
      <c r="A116">
        <f>INT((ROW()-2)/12)+1</f>
        <v/>
      </c>
      <c r="B116">
        <f>IF(INDEX('Plan setup'!$A$25:$A$34,$A116)="","",INDEX('Plan setup'!$A$25:$A$34,$A116))</f>
        <v/>
      </c>
      <c r="C116">
        <f>MOD(ROW()-2,12)+1</f>
        <v/>
      </c>
      <c r="D116" s="24">
        <f>EDATE('Plan setup'!$B$3,$C116-1)</f>
        <v/>
      </c>
      <c r="E116" s="24">
        <f>EDATE('Plan setup'!$B$3,$C116)-1</f>
        <v/>
      </c>
      <c r="F116">
        <f>$B116&amp;"|"&amp;$C116</f>
        <v/>
      </c>
      <c r="G116" s="17">
        <f>IF($B116="",0,IFERROR(INDEX('Plan setup'!$C$25:$C$34,$A116)*1,0))</f>
        <v/>
      </c>
      <c r="H116" s="16">
        <f>IF($B116="",0,IFERROR(INDEX('Plan setup'!$E$25:$E$34,$A116)*1,0))</f>
        <v/>
      </c>
      <c r="I116" s="17">
        <f>IF($B116="",0,SUMIFS(Deals!$N$2:$N$301,Deals!$F$2:$F$301,$B116,Deals!$B$2:$B$301,"&gt;="&amp;$D116,Deals!$B$2:$B$301,"&lt;="&amp;$E116)+SUMIFS(Deals!$O$2:$O$301,Deals!$H$2:$H$301,$B116,Deals!$B$2:$B$301,"&gt;="&amp;$D116,Deals!$B$2:$B$301,"&lt;="&amp;$E116))</f>
        <v/>
      </c>
      <c r="J116" s="17">
        <f>IF($B116="",0,SUMIFS(Deals!$N$2:$N$301,Deals!$F$2:$F$301,$B116,Deals!$Q$2:$Q$301,"&gt;="&amp;$D116,Deals!$Q$2:$Q$301,"&lt;="&amp;$E116)+SUMIFS(Deals!$O$2:$O$301,Deals!$H$2:$H$301,$B116,Deals!$Q$2:$Q$301,"&gt;="&amp;$D116,Deals!$Q$2:$Q$301,"&lt;="&amp;$E116))</f>
        <v/>
      </c>
      <c r="K116" s="17">
        <f>$I116-$J116</f>
        <v/>
      </c>
      <c r="L116" s="17">
        <f>IF($C116=1,$K116,$L115+$K116)</f>
        <v/>
      </c>
      <c r="M116" s="25">
        <f>IF($G116&gt;0,$L116/$G116,0)</f>
        <v/>
      </c>
      <c r="N116" s="17">
        <f>IF('Plan setup'!$B$10="",0,MAX(0,MIN(MAX($L116,0),IF('Plan setup'!$C$10="",9E+15,'Plan setup'!$C$10*$G116))-'Plan setup'!$B$10*$G116))</f>
        <v/>
      </c>
      <c r="O116" s="17">
        <f>IF('Plan setup'!$B$11="",0,MAX(0,MIN(MAX($L116,0),IF('Plan setup'!$C$11="",9E+15,'Plan setup'!$C$11*$G116))-'Plan setup'!$B$11*$G116))</f>
        <v/>
      </c>
      <c r="P116" s="17">
        <f>IF('Plan setup'!$B$12="",0,MAX(0,MIN(MAX($L116,0),IF('Plan setup'!$C$12="",9E+15,'Plan setup'!$C$12*$G116))-'Plan setup'!$B$12*$G116))</f>
        <v/>
      </c>
      <c r="Q116" s="17">
        <f>IF('Plan setup'!$B$13="",0,MAX(0,MIN(MAX($L116,0),IF('Plan setup'!$C$13="",9E+15,'Plan setup'!$C$13*$G116))-'Plan setup'!$B$13*$G116))</f>
        <v/>
      </c>
      <c r="R116" s="17">
        <f>$H116*($N116*N('Plan setup'!$D$10)+$O116*N('Plan setup'!$D$11)+$P116*N('Plan setup'!$D$12)+$Q116*N('Plan setup'!$D$13))</f>
        <v/>
      </c>
      <c r="S116" s="17">
        <f>IF($C116=1,0,$U115)</f>
        <v/>
      </c>
      <c r="T116" s="17">
        <f>MAX(0,$R116-$S116)</f>
        <v/>
      </c>
      <c r="U116" s="17">
        <f>$S116+$T116</f>
        <v/>
      </c>
      <c r="V116" s="17">
        <f>MAX(0,$U116-$R116)</f>
        <v/>
      </c>
      <c r="W116">
        <f>IF($B116="","",IF($L116&lt;=0,"Tier 1","Tier "&amp;COUNTIF('Plan setup'!$B$10:$B$13,"&lt;="&amp;$M116)))</f>
        <v/>
      </c>
      <c r="X116" s="16">
        <f>IF($L116&gt;0,$R116/$L116,0)</f>
        <v/>
      </c>
    </row>
    <row r="117">
      <c r="A117">
        <f>INT((ROW()-2)/12)+1</f>
        <v/>
      </c>
      <c r="B117">
        <f>IF(INDEX('Plan setup'!$A$25:$A$34,$A117)="","",INDEX('Plan setup'!$A$25:$A$34,$A117))</f>
        <v/>
      </c>
      <c r="C117">
        <f>MOD(ROW()-2,12)+1</f>
        <v/>
      </c>
      <c r="D117" s="24">
        <f>EDATE('Plan setup'!$B$3,$C117-1)</f>
        <v/>
      </c>
      <c r="E117" s="24">
        <f>EDATE('Plan setup'!$B$3,$C117)-1</f>
        <v/>
      </c>
      <c r="F117">
        <f>$B117&amp;"|"&amp;$C117</f>
        <v/>
      </c>
      <c r="G117" s="17">
        <f>IF($B117="",0,IFERROR(INDEX('Plan setup'!$C$25:$C$34,$A117)*1,0))</f>
        <v/>
      </c>
      <c r="H117" s="16">
        <f>IF($B117="",0,IFERROR(INDEX('Plan setup'!$E$25:$E$34,$A117)*1,0))</f>
        <v/>
      </c>
      <c r="I117" s="17">
        <f>IF($B117="",0,SUMIFS(Deals!$N$2:$N$301,Deals!$F$2:$F$301,$B117,Deals!$B$2:$B$301,"&gt;="&amp;$D117,Deals!$B$2:$B$301,"&lt;="&amp;$E117)+SUMIFS(Deals!$O$2:$O$301,Deals!$H$2:$H$301,$B117,Deals!$B$2:$B$301,"&gt;="&amp;$D117,Deals!$B$2:$B$301,"&lt;="&amp;$E117))</f>
        <v/>
      </c>
      <c r="J117" s="17">
        <f>IF($B117="",0,SUMIFS(Deals!$N$2:$N$301,Deals!$F$2:$F$301,$B117,Deals!$Q$2:$Q$301,"&gt;="&amp;$D117,Deals!$Q$2:$Q$301,"&lt;="&amp;$E117)+SUMIFS(Deals!$O$2:$O$301,Deals!$H$2:$H$301,$B117,Deals!$Q$2:$Q$301,"&gt;="&amp;$D117,Deals!$Q$2:$Q$301,"&lt;="&amp;$E117))</f>
        <v/>
      </c>
      <c r="K117" s="17">
        <f>$I117-$J117</f>
        <v/>
      </c>
      <c r="L117" s="17">
        <f>IF($C117=1,$K117,$L116+$K117)</f>
        <v/>
      </c>
      <c r="M117" s="25">
        <f>IF($G117&gt;0,$L117/$G117,0)</f>
        <v/>
      </c>
      <c r="N117" s="17">
        <f>IF('Plan setup'!$B$10="",0,MAX(0,MIN(MAX($L117,0),IF('Plan setup'!$C$10="",9E+15,'Plan setup'!$C$10*$G117))-'Plan setup'!$B$10*$G117))</f>
        <v/>
      </c>
      <c r="O117" s="17">
        <f>IF('Plan setup'!$B$11="",0,MAX(0,MIN(MAX($L117,0),IF('Plan setup'!$C$11="",9E+15,'Plan setup'!$C$11*$G117))-'Plan setup'!$B$11*$G117))</f>
        <v/>
      </c>
      <c r="P117" s="17">
        <f>IF('Plan setup'!$B$12="",0,MAX(0,MIN(MAX($L117,0),IF('Plan setup'!$C$12="",9E+15,'Plan setup'!$C$12*$G117))-'Plan setup'!$B$12*$G117))</f>
        <v/>
      </c>
      <c r="Q117" s="17">
        <f>IF('Plan setup'!$B$13="",0,MAX(0,MIN(MAX($L117,0),IF('Plan setup'!$C$13="",9E+15,'Plan setup'!$C$13*$G117))-'Plan setup'!$B$13*$G117))</f>
        <v/>
      </c>
      <c r="R117" s="17">
        <f>$H117*($N117*N('Plan setup'!$D$10)+$O117*N('Plan setup'!$D$11)+$P117*N('Plan setup'!$D$12)+$Q117*N('Plan setup'!$D$13))</f>
        <v/>
      </c>
      <c r="S117" s="17">
        <f>IF($C117=1,0,$U116)</f>
        <v/>
      </c>
      <c r="T117" s="17">
        <f>MAX(0,$R117-$S117)</f>
        <v/>
      </c>
      <c r="U117" s="17">
        <f>$S117+$T117</f>
        <v/>
      </c>
      <c r="V117" s="17">
        <f>MAX(0,$U117-$R117)</f>
        <v/>
      </c>
      <c r="W117">
        <f>IF($B117="","",IF($L117&lt;=0,"Tier 1","Tier "&amp;COUNTIF('Plan setup'!$B$10:$B$13,"&lt;="&amp;$M117)))</f>
        <v/>
      </c>
      <c r="X117" s="16">
        <f>IF($L117&gt;0,$R117/$L117,0)</f>
        <v/>
      </c>
    </row>
    <row r="118">
      <c r="A118">
        <f>INT((ROW()-2)/12)+1</f>
        <v/>
      </c>
      <c r="B118">
        <f>IF(INDEX('Plan setup'!$A$25:$A$34,$A118)="","",INDEX('Plan setup'!$A$25:$A$34,$A118))</f>
        <v/>
      </c>
      <c r="C118">
        <f>MOD(ROW()-2,12)+1</f>
        <v/>
      </c>
      <c r="D118" s="24">
        <f>EDATE('Plan setup'!$B$3,$C118-1)</f>
        <v/>
      </c>
      <c r="E118" s="24">
        <f>EDATE('Plan setup'!$B$3,$C118)-1</f>
        <v/>
      </c>
      <c r="F118">
        <f>$B118&amp;"|"&amp;$C118</f>
        <v/>
      </c>
      <c r="G118" s="17">
        <f>IF($B118="",0,IFERROR(INDEX('Plan setup'!$C$25:$C$34,$A118)*1,0))</f>
        <v/>
      </c>
      <c r="H118" s="16">
        <f>IF($B118="",0,IFERROR(INDEX('Plan setup'!$E$25:$E$34,$A118)*1,0))</f>
        <v/>
      </c>
      <c r="I118" s="17">
        <f>IF($B118="",0,SUMIFS(Deals!$N$2:$N$301,Deals!$F$2:$F$301,$B118,Deals!$B$2:$B$301,"&gt;="&amp;$D118,Deals!$B$2:$B$301,"&lt;="&amp;$E118)+SUMIFS(Deals!$O$2:$O$301,Deals!$H$2:$H$301,$B118,Deals!$B$2:$B$301,"&gt;="&amp;$D118,Deals!$B$2:$B$301,"&lt;="&amp;$E118))</f>
        <v/>
      </c>
      <c r="J118" s="17">
        <f>IF($B118="",0,SUMIFS(Deals!$N$2:$N$301,Deals!$F$2:$F$301,$B118,Deals!$Q$2:$Q$301,"&gt;="&amp;$D118,Deals!$Q$2:$Q$301,"&lt;="&amp;$E118)+SUMIFS(Deals!$O$2:$O$301,Deals!$H$2:$H$301,$B118,Deals!$Q$2:$Q$301,"&gt;="&amp;$D118,Deals!$Q$2:$Q$301,"&lt;="&amp;$E118))</f>
        <v/>
      </c>
      <c r="K118" s="17">
        <f>$I118-$J118</f>
        <v/>
      </c>
      <c r="L118" s="17">
        <f>IF($C118=1,$K118,$L117+$K118)</f>
        <v/>
      </c>
      <c r="M118" s="25">
        <f>IF($G118&gt;0,$L118/$G118,0)</f>
        <v/>
      </c>
      <c r="N118" s="17">
        <f>IF('Plan setup'!$B$10="",0,MAX(0,MIN(MAX($L118,0),IF('Plan setup'!$C$10="",9E+15,'Plan setup'!$C$10*$G118))-'Plan setup'!$B$10*$G118))</f>
        <v/>
      </c>
      <c r="O118" s="17">
        <f>IF('Plan setup'!$B$11="",0,MAX(0,MIN(MAX($L118,0),IF('Plan setup'!$C$11="",9E+15,'Plan setup'!$C$11*$G118))-'Plan setup'!$B$11*$G118))</f>
        <v/>
      </c>
      <c r="P118" s="17">
        <f>IF('Plan setup'!$B$12="",0,MAX(0,MIN(MAX($L118,0),IF('Plan setup'!$C$12="",9E+15,'Plan setup'!$C$12*$G118))-'Plan setup'!$B$12*$G118))</f>
        <v/>
      </c>
      <c r="Q118" s="17">
        <f>IF('Plan setup'!$B$13="",0,MAX(0,MIN(MAX($L118,0),IF('Plan setup'!$C$13="",9E+15,'Plan setup'!$C$13*$G118))-'Plan setup'!$B$13*$G118))</f>
        <v/>
      </c>
      <c r="R118" s="17">
        <f>$H118*($N118*N('Plan setup'!$D$10)+$O118*N('Plan setup'!$D$11)+$P118*N('Plan setup'!$D$12)+$Q118*N('Plan setup'!$D$13))</f>
        <v/>
      </c>
      <c r="S118" s="17">
        <f>IF($C118=1,0,$U117)</f>
        <v/>
      </c>
      <c r="T118" s="17">
        <f>MAX(0,$R118-$S118)</f>
        <v/>
      </c>
      <c r="U118" s="17">
        <f>$S118+$T118</f>
        <v/>
      </c>
      <c r="V118" s="17">
        <f>MAX(0,$U118-$R118)</f>
        <v/>
      </c>
      <c r="W118">
        <f>IF($B118="","",IF($L118&lt;=0,"Tier 1","Tier "&amp;COUNTIF('Plan setup'!$B$10:$B$13,"&lt;="&amp;$M118)))</f>
        <v/>
      </c>
      <c r="X118" s="16">
        <f>IF($L118&gt;0,$R118/$L118,0)</f>
        <v/>
      </c>
    </row>
    <row r="119">
      <c r="A119">
        <f>INT((ROW()-2)/12)+1</f>
        <v/>
      </c>
      <c r="B119">
        <f>IF(INDEX('Plan setup'!$A$25:$A$34,$A119)="","",INDEX('Plan setup'!$A$25:$A$34,$A119))</f>
        <v/>
      </c>
      <c r="C119">
        <f>MOD(ROW()-2,12)+1</f>
        <v/>
      </c>
      <c r="D119" s="24">
        <f>EDATE('Plan setup'!$B$3,$C119-1)</f>
        <v/>
      </c>
      <c r="E119" s="24">
        <f>EDATE('Plan setup'!$B$3,$C119)-1</f>
        <v/>
      </c>
      <c r="F119">
        <f>$B119&amp;"|"&amp;$C119</f>
        <v/>
      </c>
      <c r="G119" s="17">
        <f>IF($B119="",0,IFERROR(INDEX('Plan setup'!$C$25:$C$34,$A119)*1,0))</f>
        <v/>
      </c>
      <c r="H119" s="16">
        <f>IF($B119="",0,IFERROR(INDEX('Plan setup'!$E$25:$E$34,$A119)*1,0))</f>
        <v/>
      </c>
      <c r="I119" s="17">
        <f>IF($B119="",0,SUMIFS(Deals!$N$2:$N$301,Deals!$F$2:$F$301,$B119,Deals!$B$2:$B$301,"&gt;="&amp;$D119,Deals!$B$2:$B$301,"&lt;="&amp;$E119)+SUMIFS(Deals!$O$2:$O$301,Deals!$H$2:$H$301,$B119,Deals!$B$2:$B$301,"&gt;="&amp;$D119,Deals!$B$2:$B$301,"&lt;="&amp;$E119))</f>
        <v/>
      </c>
      <c r="J119" s="17">
        <f>IF($B119="",0,SUMIFS(Deals!$N$2:$N$301,Deals!$F$2:$F$301,$B119,Deals!$Q$2:$Q$301,"&gt;="&amp;$D119,Deals!$Q$2:$Q$301,"&lt;="&amp;$E119)+SUMIFS(Deals!$O$2:$O$301,Deals!$H$2:$H$301,$B119,Deals!$Q$2:$Q$301,"&gt;="&amp;$D119,Deals!$Q$2:$Q$301,"&lt;="&amp;$E119))</f>
        <v/>
      </c>
      <c r="K119" s="17">
        <f>$I119-$J119</f>
        <v/>
      </c>
      <c r="L119" s="17">
        <f>IF($C119=1,$K119,$L118+$K119)</f>
        <v/>
      </c>
      <c r="M119" s="25">
        <f>IF($G119&gt;0,$L119/$G119,0)</f>
        <v/>
      </c>
      <c r="N119" s="17">
        <f>IF('Plan setup'!$B$10="",0,MAX(0,MIN(MAX($L119,0),IF('Plan setup'!$C$10="",9E+15,'Plan setup'!$C$10*$G119))-'Plan setup'!$B$10*$G119))</f>
        <v/>
      </c>
      <c r="O119" s="17">
        <f>IF('Plan setup'!$B$11="",0,MAX(0,MIN(MAX($L119,0),IF('Plan setup'!$C$11="",9E+15,'Plan setup'!$C$11*$G119))-'Plan setup'!$B$11*$G119))</f>
        <v/>
      </c>
      <c r="P119" s="17">
        <f>IF('Plan setup'!$B$12="",0,MAX(0,MIN(MAX($L119,0),IF('Plan setup'!$C$12="",9E+15,'Plan setup'!$C$12*$G119))-'Plan setup'!$B$12*$G119))</f>
        <v/>
      </c>
      <c r="Q119" s="17">
        <f>IF('Plan setup'!$B$13="",0,MAX(0,MIN(MAX($L119,0),IF('Plan setup'!$C$13="",9E+15,'Plan setup'!$C$13*$G119))-'Plan setup'!$B$13*$G119))</f>
        <v/>
      </c>
      <c r="R119" s="17">
        <f>$H119*($N119*N('Plan setup'!$D$10)+$O119*N('Plan setup'!$D$11)+$P119*N('Plan setup'!$D$12)+$Q119*N('Plan setup'!$D$13))</f>
        <v/>
      </c>
      <c r="S119" s="17">
        <f>IF($C119=1,0,$U118)</f>
        <v/>
      </c>
      <c r="T119" s="17">
        <f>MAX(0,$R119-$S119)</f>
        <v/>
      </c>
      <c r="U119" s="17">
        <f>$S119+$T119</f>
        <v/>
      </c>
      <c r="V119" s="17">
        <f>MAX(0,$U119-$R119)</f>
        <v/>
      </c>
      <c r="W119">
        <f>IF($B119="","",IF($L119&lt;=0,"Tier 1","Tier "&amp;COUNTIF('Plan setup'!$B$10:$B$13,"&lt;="&amp;$M119)))</f>
        <v/>
      </c>
      <c r="X119" s="16">
        <f>IF($L119&gt;0,$R119/$L119,0)</f>
        <v/>
      </c>
    </row>
    <row r="120">
      <c r="A120">
        <f>INT((ROW()-2)/12)+1</f>
        <v/>
      </c>
      <c r="B120">
        <f>IF(INDEX('Plan setup'!$A$25:$A$34,$A120)="","",INDEX('Plan setup'!$A$25:$A$34,$A120))</f>
        <v/>
      </c>
      <c r="C120">
        <f>MOD(ROW()-2,12)+1</f>
        <v/>
      </c>
      <c r="D120" s="24">
        <f>EDATE('Plan setup'!$B$3,$C120-1)</f>
        <v/>
      </c>
      <c r="E120" s="24">
        <f>EDATE('Plan setup'!$B$3,$C120)-1</f>
        <v/>
      </c>
      <c r="F120">
        <f>$B120&amp;"|"&amp;$C120</f>
        <v/>
      </c>
      <c r="G120" s="17">
        <f>IF($B120="",0,IFERROR(INDEX('Plan setup'!$C$25:$C$34,$A120)*1,0))</f>
        <v/>
      </c>
      <c r="H120" s="16">
        <f>IF($B120="",0,IFERROR(INDEX('Plan setup'!$E$25:$E$34,$A120)*1,0))</f>
        <v/>
      </c>
      <c r="I120" s="17">
        <f>IF($B120="",0,SUMIFS(Deals!$N$2:$N$301,Deals!$F$2:$F$301,$B120,Deals!$B$2:$B$301,"&gt;="&amp;$D120,Deals!$B$2:$B$301,"&lt;="&amp;$E120)+SUMIFS(Deals!$O$2:$O$301,Deals!$H$2:$H$301,$B120,Deals!$B$2:$B$301,"&gt;="&amp;$D120,Deals!$B$2:$B$301,"&lt;="&amp;$E120))</f>
        <v/>
      </c>
      <c r="J120" s="17">
        <f>IF($B120="",0,SUMIFS(Deals!$N$2:$N$301,Deals!$F$2:$F$301,$B120,Deals!$Q$2:$Q$301,"&gt;="&amp;$D120,Deals!$Q$2:$Q$301,"&lt;="&amp;$E120)+SUMIFS(Deals!$O$2:$O$301,Deals!$H$2:$H$301,$B120,Deals!$Q$2:$Q$301,"&gt;="&amp;$D120,Deals!$Q$2:$Q$301,"&lt;="&amp;$E120))</f>
        <v/>
      </c>
      <c r="K120" s="17">
        <f>$I120-$J120</f>
        <v/>
      </c>
      <c r="L120" s="17">
        <f>IF($C120=1,$K120,$L119+$K120)</f>
        <v/>
      </c>
      <c r="M120" s="25">
        <f>IF($G120&gt;0,$L120/$G120,0)</f>
        <v/>
      </c>
      <c r="N120" s="17">
        <f>IF('Plan setup'!$B$10="",0,MAX(0,MIN(MAX($L120,0),IF('Plan setup'!$C$10="",9E+15,'Plan setup'!$C$10*$G120))-'Plan setup'!$B$10*$G120))</f>
        <v/>
      </c>
      <c r="O120" s="17">
        <f>IF('Plan setup'!$B$11="",0,MAX(0,MIN(MAX($L120,0),IF('Plan setup'!$C$11="",9E+15,'Plan setup'!$C$11*$G120))-'Plan setup'!$B$11*$G120))</f>
        <v/>
      </c>
      <c r="P120" s="17">
        <f>IF('Plan setup'!$B$12="",0,MAX(0,MIN(MAX($L120,0),IF('Plan setup'!$C$12="",9E+15,'Plan setup'!$C$12*$G120))-'Plan setup'!$B$12*$G120))</f>
        <v/>
      </c>
      <c r="Q120" s="17">
        <f>IF('Plan setup'!$B$13="",0,MAX(0,MIN(MAX($L120,0),IF('Plan setup'!$C$13="",9E+15,'Plan setup'!$C$13*$G120))-'Plan setup'!$B$13*$G120))</f>
        <v/>
      </c>
      <c r="R120" s="17">
        <f>$H120*($N120*N('Plan setup'!$D$10)+$O120*N('Plan setup'!$D$11)+$P120*N('Plan setup'!$D$12)+$Q120*N('Plan setup'!$D$13))</f>
        <v/>
      </c>
      <c r="S120" s="17">
        <f>IF($C120=1,0,$U119)</f>
        <v/>
      </c>
      <c r="T120" s="17">
        <f>MAX(0,$R120-$S120)</f>
        <v/>
      </c>
      <c r="U120" s="17">
        <f>$S120+$T120</f>
        <v/>
      </c>
      <c r="V120" s="17">
        <f>MAX(0,$U120-$R120)</f>
        <v/>
      </c>
      <c r="W120">
        <f>IF($B120="","",IF($L120&lt;=0,"Tier 1","Tier "&amp;COUNTIF('Plan setup'!$B$10:$B$13,"&lt;="&amp;$M120)))</f>
        <v/>
      </c>
      <c r="X120" s="16">
        <f>IF($L120&gt;0,$R120/$L120,0)</f>
        <v/>
      </c>
    </row>
    <row r="121">
      <c r="A121">
        <f>INT((ROW()-2)/12)+1</f>
        <v/>
      </c>
      <c r="B121">
        <f>IF(INDEX('Plan setup'!$A$25:$A$34,$A121)="","",INDEX('Plan setup'!$A$25:$A$34,$A121))</f>
        <v/>
      </c>
      <c r="C121">
        <f>MOD(ROW()-2,12)+1</f>
        <v/>
      </c>
      <c r="D121" s="24">
        <f>EDATE('Plan setup'!$B$3,$C121-1)</f>
        <v/>
      </c>
      <c r="E121" s="24">
        <f>EDATE('Plan setup'!$B$3,$C121)-1</f>
        <v/>
      </c>
      <c r="F121">
        <f>$B121&amp;"|"&amp;$C121</f>
        <v/>
      </c>
      <c r="G121" s="17">
        <f>IF($B121="",0,IFERROR(INDEX('Plan setup'!$C$25:$C$34,$A121)*1,0))</f>
        <v/>
      </c>
      <c r="H121" s="16">
        <f>IF($B121="",0,IFERROR(INDEX('Plan setup'!$E$25:$E$34,$A121)*1,0))</f>
        <v/>
      </c>
      <c r="I121" s="17">
        <f>IF($B121="",0,SUMIFS(Deals!$N$2:$N$301,Deals!$F$2:$F$301,$B121,Deals!$B$2:$B$301,"&gt;="&amp;$D121,Deals!$B$2:$B$301,"&lt;="&amp;$E121)+SUMIFS(Deals!$O$2:$O$301,Deals!$H$2:$H$301,$B121,Deals!$B$2:$B$301,"&gt;="&amp;$D121,Deals!$B$2:$B$301,"&lt;="&amp;$E121))</f>
        <v/>
      </c>
      <c r="J121" s="17">
        <f>IF($B121="",0,SUMIFS(Deals!$N$2:$N$301,Deals!$F$2:$F$301,$B121,Deals!$Q$2:$Q$301,"&gt;="&amp;$D121,Deals!$Q$2:$Q$301,"&lt;="&amp;$E121)+SUMIFS(Deals!$O$2:$O$301,Deals!$H$2:$H$301,$B121,Deals!$Q$2:$Q$301,"&gt;="&amp;$D121,Deals!$Q$2:$Q$301,"&lt;="&amp;$E121))</f>
        <v/>
      </c>
      <c r="K121" s="17">
        <f>$I121-$J121</f>
        <v/>
      </c>
      <c r="L121" s="17">
        <f>IF($C121=1,$K121,$L120+$K121)</f>
        <v/>
      </c>
      <c r="M121" s="25">
        <f>IF($G121&gt;0,$L121/$G121,0)</f>
        <v/>
      </c>
      <c r="N121" s="17">
        <f>IF('Plan setup'!$B$10="",0,MAX(0,MIN(MAX($L121,0),IF('Plan setup'!$C$10="",9E+15,'Plan setup'!$C$10*$G121))-'Plan setup'!$B$10*$G121))</f>
        <v/>
      </c>
      <c r="O121" s="17">
        <f>IF('Plan setup'!$B$11="",0,MAX(0,MIN(MAX($L121,0),IF('Plan setup'!$C$11="",9E+15,'Plan setup'!$C$11*$G121))-'Plan setup'!$B$11*$G121))</f>
        <v/>
      </c>
      <c r="P121" s="17">
        <f>IF('Plan setup'!$B$12="",0,MAX(0,MIN(MAX($L121,0),IF('Plan setup'!$C$12="",9E+15,'Plan setup'!$C$12*$G121))-'Plan setup'!$B$12*$G121))</f>
        <v/>
      </c>
      <c r="Q121" s="17">
        <f>IF('Plan setup'!$B$13="",0,MAX(0,MIN(MAX($L121,0),IF('Plan setup'!$C$13="",9E+15,'Plan setup'!$C$13*$G121))-'Plan setup'!$B$13*$G121))</f>
        <v/>
      </c>
      <c r="R121" s="17">
        <f>$H121*($N121*N('Plan setup'!$D$10)+$O121*N('Plan setup'!$D$11)+$P121*N('Plan setup'!$D$12)+$Q121*N('Plan setup'!$D$13))</f>
        <v/>
      </c>
      <c r="S121" s="17">
        <f>IF($C121=1,0,$U120)</f>
        <v/>
      </c>
      <c r="T121" s="17">
        <f>MAX(0,$R121-$S121)</f>
        <v/>
      </c>
      <c r="U121" s="17">
        <f>$S121+$T121</f>
        <v/>
      </c>
      <c r="V121" s="17">
        <f>MAX(0,$U121-$R121)</f>
        <v/>
      </c>
      <c r="W121">
        <f>IF($B121="","",IF($L121&lt;=0,"Tier 1","Tier "&amp;COUNTIF('Plan setup'!$B$10:$B$13,"&lt;="&amp;$M121)))</f>
        <v/>
      </c>
      <c r="X121" s="16">
        <f>IF($L121&gt;0,$R121/$L121,0)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20" customWidth="1" min="4" max="4"/>
    <col width="22" customWidth="1" min="5" max="5"/>
    <col width="14" customWidth="1" min="6" max="6"/>
    <col width="15" customWidth="1" min="7" max="7"/>
    <col width="11" customWidth="1" min="8" max="8"/>
    <col width="17" customWidth="1" min="9" max="9"/>
    <col width="28" customWidth="1" min="10" max="10"/>
  </cols>
  <sheetData>
    <row r="1">
      <c r="B1" s="5" t="inlineStr">
        <is>
          <t>Commission statement</t>
        </is>
      </c>
    </row>
    <row r="2">
      <c r="B2" s="6" t="inlineStr">
        <is>
          <t>Pick a rep and a month. Everything else fills in.</t>
        </is>
      </c>
    </row>
    <row r="3">
      <c r="B3" s="7" t="inlineStr">
        <is>
          <t>Rep</t>
        </is>
      </c>
      <c r="C3" s="10" t="inlineStr">
        <is>
          <t>Jordan Lee</t>
        </is>
      </c>
      <c r="E3" s="7" t="inlineStr">
        <is>
          <t>Role</t>
        </is>
      </c>
      <c r="F3">
        <f>IFERROR(INDEX('Plan setup'!$B$25:$B$34,MATCH($C$3,'Plan setup'!$A$25:$A$34,0)),"")</f>
        <v/>
      </c>
    </row>
    <row r="4">
      <c r="B4" s="7" t="inlineStr">
        <is>
          <t>Month (1 to 12)</t>
        </is>
      </c>
      <c r="C4" s="10" t="n">
        <v>8</v>
      </c>
      <c r="E4" s="7" t="inlineStr">
        <is>
          <t>Annual quota</t>
        </is>
      </c>
      <c r="F4" s="17">
        <f>IFERROR(INDEX('Plan setup'!$C$25:$C$34,MATCH($C$3,'Plan setup'!$A$25:$A$34,0)),"")</f>
        <v/>
      </c>
    </row>
    <row r="5">
      <c r="B5" s="7" t="inlineStr">
        <is>
          <t>Period</t>
        </is>
      </c>
      <c r="C5">
        <f>TEXT($C$6,"mmmm yyyy")</f>
        <v/>
      </c>
      <c r="E5" s="7" t="inlineStr">
        <is>
          <t>Target incentive</t>
        </is>
      </c>
      <c r="F5" s="17">
        <f>IFERROR(INDEX('Plan setup'!$D$25:$D$34,MATCH($C$3,'Plan setup'!$A$25:$A$34,0)),"")</f>
        <v/>
      </c>
    </row>
    <row r="6">
      <c r="B6" s="7" t="inlineStr">
        <is>
          <t>Period starts</t>
        </is>
      </c>
      <c r="C6" s="24">
        <f>EDATE('Plan setup'!$B$3,$C$4-1)</f>
        <v/>
      </c>
      <c r="E6" s="7" t="inlineStr">
        <is>
          <t>Base commission rate</t>
        </is>
      </c>
      <c r="F6" s="16">
        <f>IFERROR(INDEX('Plan setup'!$E$25:$E$34,MATCH($C$3,'Plan setup'!$A$25:$A$34,0)),"")</f>
        <v/>
      </c>
    </row>
    <row r="7">
      <c r="B7" s="7" t="inlineStr">
        <is>
          <t>Period ends</t>
        </is>
      </c>
      <c r="C7" s="24">
        <f>EDATE('Plan setup'!$B$3,$C$4)-1</f>
        <v/>
      </c>
      <c r="E7" s="7" t="inlineStr">
        <is>
          <t>OTE</t>
        </is>
      </c>
      <c r="F7" s="17">
        <f>IFERROR(INDEX('Plan setup'!$G$25:$G$34,MATCH($C$3,'Plan setup'!$A$25:$A$34,0)),"")</f>
        <v/>
      </c>
    </row>
    <row r="8">
      <c r="B8" s="7" t="inlineStr">
        <is>
          <t>Lookup key</t>
        </is>
      </c>
      <c r="C8">
        <f>$C$3&amp;"|"&amp;$C$4</f>
        <v/>
      </c>
    </row>
    <row r="10">
      <c r="B10" s="7" t="inlineStr">
        <is>
          <t>Credit booked this month</t>
        </is>
      </c>
      <c r="C10" s="26">
        <f>IFERROR(INDEX(Calc!$I$2:$I$121,MATCH($C$8,Calc!$F$2:$F$121,0)),"")</f>
        <v/>
      </c>
    </row>
    <row r="11">
      <c r="B11" s="7" t="inlineStr">
        <is>
          <t>Clawbacks this month</t>
        </is>
      </c>
      <c r="C11" s="26">
        <f>IFERROR(INDEX(Calc!$J$2:$J$121,MATCH($C$8,Calc!$F$2:$F$121,0)),"")</f>
        <v/>
      </c>
    </row>
    <row r="12">
      <c r="B12" s="7" t="inlineStr">
        <is>
          <t>Net credit this month</t>
        </is>
      </c>
      <c r="C12" s="26">
        <f>IFERROR(INDEX(Calc!$K$2:$K$121,MATCH($C$8,Calc!$F$2:$F$121,0)),"")</f>
        <v/>
      </c>
    </row>
    <row r="13">
      <c r="B13" s="7" t="inlineStr">
        <is>
          <t>Credit year to date</t>
        </is>
      </c>
      <c r="C13" s="26">
        <f>IFERROR(INDEX(Calc!$L$2:$L$121,MATCH($C$8,Calc!$F$2:$F$121,0)),"")</f>
        <v/>
      </c>
    </row>
    <row r="14">
      <c r="B14" s="7" t="inlineStr">
        <is>
          <t>Attainment year to date</t>
        </is>
      </c>
      <c r="C14" s="27">
        <f>IFERROR(INDEX(Calc!$M$2:$M$121,MATCH($C$8,Calc!$F$2:$F$121,0)),"")</f>
        <v/>
      </c>
    </row>
    <row r="15">
      <c r="B15" s="7" t="inlineStr">
        <is>
          <t>Current tier</t>
        </is>
      </c>
      <c r="C15" s="28">
        <f>IFERROR(INDEX(Calc!$W$2:$W$121,MATCH($C$8,Calc!$F$2:$F$121,0)),"")</f>
        <v/>
      </c>
    </row>
    <row r="16">
      <c r="B16" s="7" t="inlineStr">
        <is>
          <t>Commission earned year to date</t>
        </is>
      </c>
      <c r="C16" s="26">
        <f>IFERROR(INDEX(Calc!$R$2:$R$121,MATCH($C$8,Calc!$F$2:$F$121,0)),"")</f>
        <v/>
      </c>
    </row>
    <row r="17">
      <c r="B17" s="7" t="inlineStr">
        <is>
          <t>Paid in earlier months</t>
        </is>
      </c>
      <c r="C17" s="26">
        <f>IFERROR(INDEX(Calc!$S$2:$S$121,MATCH($C$8,Calc!$F$2:$F$121,0)),"")</f>
        <v/>
      </c>
    </row>
    <row r="18">
      <c r="B18" s="7" t="inlineStr">
        <is>
          <t>Payable this month</t>
        </is>
      </c>
      <c r="C18" s="29">
        <f>IFERROR(INDEX(Calc!$T$2:$T$121,MATCH($C$8,Calc!$F$2:$F$121,0)),"")</f>
        <v/>
      </c>
    </row>
    <row r="19">
      <c r="B19" s="7" t="inlineStr">
        <is>
          <t>Owed back after this month</t>
        </is>
      </c>
      <c r="C19" s="26">
        <f>IFERROR(INDEX(Calc!$V$2:$V$121,MATCH($C$8,Calc!$F$2:$F$121,0)),"")</f>
        <v/>
      </c>
    </row>
    <row r="21">
      <c r="B21" s="7" t="inlineStr">
        <is>
          <t>Deals credited or reversed this month</t>
        </is>
      </c>
    </row>
    <row r="22">
      <c r="B22" s="11" t="inlineStr">
        <is>
          <t>Line</t>
        </is>
      </c>
      <c r="C22" s="11" t="inlineStr">
        <is>
          <t>Deal ID</t>
        </is>
      </c>
      <c r="D22" s="11" t="inlineStr">
        <is>
          <t>Close date</t>
        </is>
      </c>
      <c r="E22" s="11" t="inlineStr">
        <is>
          <t>Customer</t>
        </is>
      </c>
      <c r="F22" s="11" t="inlineStr">
        <is>
          <t>Deal type</t>
        </is>
      </c>
      <c r="G22" s="11" t="inlineStr">
        <is>
          <t>Booking amount</t>
        </is>
      </c>
      <c r="H22" s="11" t="inlineStr">
        <is>
          <t>Your split</t>
        </is>
      </c>
      <c r="I22" s="11" t="inlineStr">
        <is>
          <t>Credit this month</t>
        </is>
      </c>
      <c r="J22" s="11" t="inlineStr">
        <is>
          <t>Note</t>
        </is>
      </c>
    </row>
    <row r="23">
      <c r="A23" s="30" t="n">
        <v>1</v>
      </c>
      <c r="B23">
        <f>IF($C23="","",$A23)</f>
        <v/>
      </c>
      <c r="C23">
        <f>IFERROR(INDEX(Deals!$A$2:$A$301,MATCH($A23,Deals!$T$2:$T$301,0)),"")</f>
        <v/>
      </c>
      <c r="D23" s="24">
        <f>IFERROR(INDEX(Deals!$B$2:$B$301,MATCH($A23,Deals!$T$2:$T$301,0)),"")</f>
        <v/>
      </c>
      <c r="E23">
        <f>IFERROR(INDEX(Deals!$C$2:$C$301,MATCH($A23,Deals!$T$2:$T$301,0)),"")</f>
        <v/>
      </c>
      <c r="F23">
        <f>IFERROR(INDEX(Deals!$D$2:$D$301,MATCH($A23,Deals!$T$2:$T$301,0)),"")</f>
        <v/>
      </c>
      <c r="G23" s="17">
        <f>IFERROR(INDEX(Deals!$E$2:$E$301,MATCH($A23,Deals!$T$2:$T$301,0)),"")</f>
        <v/>
      </c>
      <c r="H23" s="23">
        <f>IFERROR(INDEX(Deals!$W$2:$W$301,MATCH($A23,Deals!$T$2:$T$301,0)),"")</f>
        <v/>
      </c>
      <c r="I23" s="17">
        <f>IFERROR(INDEX(Deals!$V$2:$V$301,MATCH($A23,Deals!$T$2:$T$301,0)),"")</f>
        <v/>
      </c>
      <c r="J23">
        <f>IFERROR(INDEX(Deals!$X$2:$X$301,MATCH($A23,Deals!$T$2:$T$301,0)),"")</f>
        <v/>
      </c>
    </row>
    <row r="24">
      <c r="A24" s="30" t="n">
        <v>2</v>
      </c>
      <c r="B24">
        <f>IF($C24="","",$A24)</f>
        <v/>
      </c>
      <c r="C24">
        <f>IFERROR(INDEX(Deals!$A$2:$A$301,MATCH($A24,Deals!$T$2:$T$301,0)),"")</f>
        <v/>
      </c>
      <c r="D24" s="24">
        <f>IFERROR(INDEX(Deals!$B$2:$B$301,MATCH($A24,Deals!$T$2:$T$301,0)),"")</f>
        <v/>
      </c>
      <c r="E24">
        <f>IFERROR(INDEX(Deals!$C$2:$C$301,MATCH($A24,Deals!$T$2:$T$301,0)),"")</f>
        <v/>
      </c>
      <c r="F24">
        <f>IFERROR(INDEX(Deals!$D$2:$D$301,MATCH($A24,Deals!$T$2:$T$301,0)),"")</f>
        <v/>
      </c>
      <c r="G24" s="17">
        <f>IFERROR(INDEX(Deals!$E$2:$E$301,MATCH($A24,Deals!$T$2:$T$301,0)),"")</f>
        <v/>
      </c>
      <c r="H24" s="23">
        <f>IFERROR(INDEX(Deals!$W$2:$W$301,MATCH($A24,Deals!$T$2:$T$301,0)),"")</f>
        <v/>
      </c>
      <c r="I24" s="17">
        <f>IFERROR(INDEX(Deals!$V$2:$V$301,MATCH($A24,Deals!$T$2:$T$301,0)),"")</f>
        <v/>
      </c>
      <c r="J24">
        <f>IFERROR(INDEX(Deals!$X$2:$X$301,MATCH($A24,Deals!$T$2:$T$301,0)),"")</f>
        <v/>
      </c>
    </row>
    <row r="25">
      <c r="A25" s="30" t="n">
        <v>3</v>
      </c>
      <c r="B25">
        <f>IF($C25="","",$A25)</f>
        <v/>
      </c>
      <c r="C25">
        <f>IFERROR(INDEX(Deals!$A$2:$A$301,MATCH($A25,Deals!$T$2:$T$301,0)),"")</f>
        <v/>
      </c>
      <c r="D25" s="24">
        <f>IFERROR(INDEX(Deals!$B$2:$B$301,MATCH($A25,Deals!$T$2:$T$301,0)),"")</f>
        <v/>
      </c>
      <c r="E25">
        <f>IFERROR(INDEX(Deals!$C$2:$C$301,MATCH($A25,Deals!$T$2:$T$301,0)),"")</f>
        <v/>
      </c>
      <c r="F25">
        <f>IFERROR(INDEX(Deals!$D$2:$D$301,MATCH($A25,Deals!$T$2:$T$301,0)),"")</f>
        <v/>
      </c>
      <c r="G25" s="17">
        <f>IFERROR(INDEX(Deals!$E$2:$E$301,MATCH($A25,Deals!$T$2:$T$301,0)),"")</f>
        <v/>
      </c>
      <c r="H25" s="23">
        <f>IFERROR(INDEX(Deals!$W$2:$W$301,MATCH($A25,Deals!$T$2:$T$301,0)),"")</f>
        <v/>
      </c>
      <c r="I25" s="17">
        <f>IFERROR(INDEX(Deals!$V$2:$V$301,MATCH($A25,Deals!$T$2:$T$301,0)),"")</f>
        <v/>
      </c>
      <c r="J25">
        <f>IFERROR(INDEX(Deals!$X$2:$X$301,MATCH($A25,Deals!$T$2:$T$301,0)),"")</f>
        <v/>
      </c>
    </row>
    <row r="26">
      <c r="A26" s="30" t="n">
        <v>4</v>
      </c>
      <c r="B26">
        <f>IF($C26="","",$A26)</f>
        <v/>
      </c>
      <c r="C26">
        <f>IFERROR(INDEX(Deals!$A$2:$A$301,MATCH($A26,Deals!$T$2:$T$301,0)),"")</f>
        <v/>
      </c>
      <c r="D26" s="24">
        <f>IFERROR(INDEX(Deals!$B$2:$B$301,MATCH($A26,Deals!$T$2:$T$301,0)),"")</f>
        <v/>
      </c>
      <c r="E26">
        <f>IFERROR(INDEX(Deals!$C$2:$C$301,MATCH($A26,Deals!$T$2:$T$301,0)),"")</f>
        <v/>
      </c>
      <c r="F26">
        <f>IFERROR(INDEX(Deals!$D$2:$D$301,MATCH($A26,Deals!$T$2:$T$301,0)),"")</f>
        <v/>
      </c>
      <c r="G26" s="17">
        <f>IFERROR(INDEX(Deals!$E$2:$E$301,MATCH($A26,Deals!$T$2:$T$301,0)),"")</f>
        <v/>
      </c>
      <c r="H26" s="23">
        <f>IFERROR(INDEX(Deals!$W$2:$W$301,MATCH($A26,Deals!$T$2:$T$301,0)),"")</f>
        <v/>
      </c>
      <c r="I26" s="17">
        <f>IFERROR(INDEX(Deals!$V$2:$V$301,MATCH($A26,Deals!$T$2:$T$301,0)),"")</f>
        <v/>
      </c>
      <c r="J26">
        <f>IFERROR(INDEX(Deals!$X$2:$X$301,MATCH($A26,Deals!$T$2:$T$301,0)),"")</f>
        <v/>
      </c>
    </row>
    <row r="27">
      <c r="A27" s="30" t="n">
        <v>5</v>
      </c>
      <c r="B27">
        <f>IF($C27="","",$A27)</f>
        <v/>
      </c>
      <c r="C27">
        <f>IFERROR(INDEX(Deals!$A$2:$A$301,MATCH($A27,Deals!$T$2:$T$301,0)),"")</f>
        <v/>
      </c>
      <c r="D27" s="24">
        <f>IFERROR(INDEX(Deals!$B$2:$B$301,MATCH($A27,Deals!$T$2:$T$301,0)),"")</f>
        <v/>
      </c>
      <c r="E27">
        <f>IFERROR(INDEX(Deals!$C$2:$C$301,MATCH($A27,Deals!$T$2:$T$301,0)),"")</f>
        <v/>
      </c>
      <c r="F27">
        <f>IFERROR(INDEX(Deals!$D$2:$D$301,MATCH($A27,Deals!$T$2:$T$301,0)),"")</f>
        <v/>
      </c>
      <c r="G27" s="17">
        <f>IFERROR(INDEX(Deals!$E$2:$E$301,MATCH($A27,Deals!$T$2:$T$301,0)),"")</f>
        <v/>
      </c>
      <c r="H27" s="23">
        <f>IFERROR(INDEX(Deals!$W$2:$W$301,MATCH($A27,Deals!$T$2:$T$301,0)),"")</f>
        <v/>
      </c>
      <c r="I27" s="17">
        <f>IFERROR(INDEX(Deals!$V$2:$V$301,MATCH($A27,Deals!$T$2:$T$301,0)),"")</f>
        <v/>
      </c>
      <c r="J27">
        <f>IFERROR(INDEX(Deals!$X$2:$X$301,MATCH($A27,Deals!$T$2:$T$301,0)),"")</f>
        <v/>
      </c>
    </row>
    <row r="28">
      <c r="A28" s="30" t="n">
        <v>6</v>
      </c>
      <c r="B28">
        <f>IF($C28="","",$A28)</f>
        <v/>
      </c>
      <c r="C28">
        <f>IFERROR(INDEX(Deals!$A$2:$A$301,MATCH($A28,Deals!$T$2:$T$301,0)),"")</f>
        <v/>
      </c>
      <c r="D28" s="24">
        <f>IFERROR(INDEX(Deals!$B$2:$B$301,MATCH($A28,Deals!$T$2:$T$301,0)),"")</f>
        <v/>
      </c>
      <c r="E28">
        <f>IFERROR(INDEX(Deals!$C$2:$C$301,MATCH($A28,Deals!$T$2:$T$301,0)),"")</f>
        <v/>
      </c>
      <c r="F28">
        <f>IFERROR(INDEX(Deals!$D$2:$D$301,MATCH($A28,Deals!$T$2:$T$301,0)),"")</f>
        <v/>
      </c>
      <c r="G28" s="17">
        <f>IFERROR(INDEX(Deals!$E$2:$E$301,MATCH($A28,Deals!$T$2:$T$301,0)),"")</f>
        <v/>
      </c>
      <c r="H28" s="23">
        <f>IFERROR(INDEX(Deals!$W$2:$W$301,MATCH($A28,Deals!$T$2:$T$301,0)),"")</f>
        <v/>
      </c>
      <c r="I28" s="17">
        <f>IFERROR(INDEX(Deals!$V$2:$V$301,MATCH($A28,Deals!$T$2:$T$301,0)),"")</f>
        <v/>
      </c>
      <c r="J28">
        <f>IFERROR(INDEX(Deals!$X$2:$X$301,MATCH($A28,Deals!$T$2:$T$301,0)),"")</f>
        <v/>
      </c>
    </row>
    <row r="29">
      <c r="A29" s="30" t="n">
        <v>7</v>
      </c>
      <c r="B29">
        <f>IF($C29="","",$A29)</f>
        <v/>
      </c>
      <c r="C29">
        <f>IFERROR(INDEX(Deals!$A$2:$A$301,MATCH($A29,Deals!$T$2:$T$301,0)),"")</f>
        <v/>
      </c>
      <c r="D29" s="24">
        <f>IFERROR(INDEX(Deals!$B$2:$B$301,MATCH($A29,Deals!$T$2:$T$301,0)),"")</f>
        <v/>
      </c>
      <c r="E29">
        <f>IFERROR(INDEX(Deals!$C$2:$C$301,MATCH($A29,Deals!$T$2:$T$301,0)),"")</f>
        <v/>
      </c>
      <c r="F29">
        <f>IFERROR(INDEX(Deals!$D$2:$D$301,MATCH($A29,Deals!$T$2:$T$301,0)),"")</f>
        <v/>
      </c>
      <c r="G29" s="17">
        <f>IFERROR(INDEX(Deals!$E$2:$E$301,MATCH($A29,Deals!$T$2:$T$301,0)),"")</f>
        <v/>
      </c>
      <c r="H29" s="23">
        <f>IFERROR(INDEX(Deals!$W$2:$W$301,MATCH($A29,Deals!$T$2:$T$301,0)),"")</f>
        <v/>
      </c>
      <c r="I29" s="17">
        <f>IFERROR(INDEX(Deals!$V$2:$V$301,MATCH($A29,Deals!$T$2:$T$301,0)),"")</f>
        <v/>
      </c>
      <c r="J29">
        <f>IFERROR(INDEX(Deals!$X$2:$X$301,MATCH($A29,Deals!$T$2:$T$301,0)),"")</f>
        <v/>
      </c>
    </row>
    <row r="30">
      <c r="A30" s="30" t="n">
        <v>8</v>
      </c>
      <c r="B30">
        <f>IF($C30="","",$A30)</f>
        <v/>
      </c>
      <c r="C30">
        <f>IFERROR(INDEX(Deals!$A$2:$A$301,MATCH($A30,Deals!$T$2:$T$301,0)),"")</f>
        <v/>
      </c>
      <c r="D30" s="24">
        <f>IFERROR(INDEX(Deals!$B$2:$B$301,MATCH($A30,Deals!$T$2:$T$301,0)),"")</f>
        <v/>
      </c>
      <c r="E30">
        <f>IFERROR(INDEX(Deals!$C$2:$C$301,MATCH($A30,Deals!$T$2:$T$301,0)),"")</f>
        <v/>
      </c>
      <c r="F30">
        <f>IFERROR(INDEX(Deals!$D$2:$D$301,MATCH($A30,Deals!$T$2:$T$301,0)),"")</f>
        <v/>
      </c>
      <c r="G30" s="17">
        <f>IFERROR(INDEX(Deals!$E$2:$E$301,MATCH($A30,Deals!$T$2:$T$301,0)),"")</f>
        <v/>
      </c>
      <c r="H30" s="23">
        <f>IFERROR(INDEX(Deals!$W$2:$W$301,MATCH($A30,Deals!$T$2:$T$301,0)),"")</f>
        <v/>
      </c>
      <c r="I30" s="17">
        <f>IFERROR(INDEX(Deals!$V$2:$V$301,MATCH($A30,Deals!$T$2:$T$301,0)),"")</f>
        <v/>
      </c>
      <c r="J30">
        <f>IFERROR(INDEX(Deals!$X$2:$X$301,MATCH($A30,Deals!$T$2:$T$301,0)),"")</f>
        <v/>
      </c>
    </row>
    <row r="31">
      <c r="A31" s="30" t="n">
        <v>9</v>
      </c>
      <c r="B31">
        <f>IF($C31="","",$A31)</f>
        <v/>
      </c>
      <c r="C31">
        <f>IFERROR(INDEX(Deals!$A$2:$A$301,MATCH($A31,Deals!$T$2:$T$301,0)),"")</f>
        <v/>
      </c>
      <c r="D31" s="24">
        <f>IFERROR(INDEX(Deals!$B$2:$B$301,MATCH($A31,Deals!$T$2:$T$301,0)),"")</f>
        <v/>
      </c>
      <c r="E31">
        <f>IFERROR(INDEX(Deals!$C$2:$C$301,MATCH($A31,Deals!$T$2:$T$301,0)),"")</f>
        <v/>
      </c>
      <c r="F31">
        <f>IFERROR(INDEX(Deals!$D$2:$D$301,MATCH($A31,Deals!$T$2:$T$301,0)),"")</f>
        <v/>
      </c>
      <c r="G31" s="17">
        <f>IFERROR(INDEX(Deals!$E$2:$E$301,MATCH($A31,Deals!$T$2:$T$301,0)),"")</f>
        <v/>
      </c>
      <c r="H31" s="23">
        <f>IFERROR(INDEX(Deals!$W$2:$W$301,MATCH($A31,Deals!$T$2:$T$301,0)),"")</f>
        <v/>
      </c>
      <c r="I31" s="17">
        <f>IFERROR(INDEX(Deals!$V$2:$V$301,MATCH($A31,Deals!$T$2:$T$301,0)),"")</f>
        <v/>
      </c>
      <c r="J31">
        <f>IFERROR(INDEX(Deals!$X$2:$X$301,MATCH($A31,Deals!$T$2:$T$301,0)),"")</f>
        <v/>
      </c>
    </row>
    <row r="32">
      <c r="A32" s="30" t="n">
        <v>10</v>
      </c>
      <c r="B32">
        <f>IF($C32="","",$A32)</f>
        <v/>
      </c>
      <c r="C32">
        <f>IFERROR(INDEX(Deals!$A$2:$A$301,MATCH($A32,Deals!$T$2:$T$301,0)),"")</f>
        <v/>
      </c>
      <c r="D32" s="24">
        <f>IFERROR(INDEX(Deals!$B$2:$B$301,MATCH($A32,Deals!$T$2:$T$301,0)),"")</f>
        <v/>
      </c>
      <c r="E32">
        <f>IFERROR(INDEX(Deals!$C$2:$C$301,MATCH($A32,Deals!$T$2:$T$301,0)),"")</f>
        <v/>
      </c>
      <c r="F32">
        <f>IFERROR(INDEX(Deals!$D$2:$D$301,MATCH($A32,Deals!$T$2:$T$301,0)),"")</f>
        <v/>
      </c>
      <c r="G32" s="17">
        <f>IFERROR(INDEX(Deals!$E$2:$E$301,MATCH($A32,Deals!$T$2:$T$301,0)),"")</f>
        <v/>
      </c>
      <c r="H32" s="23">
        <f>IFERROR(INDEX(Deals!$W$2:$W$301,MATCH($A32,Deals!$T$2:$T$301,0)),"")</f>
        <v/>
      </c>
      <c r="I32" s="17">
        <f>IFERROR(INDEX(Deals!$V$2:$V$301,MATCH($A32,Deals!$T$2:$T$301,0)),"")</f>
        <v/>
      </c>
      <c r="J32">
        <f>IFERROR(INDEX(Deals!$X$2:$X$301,MATCH($A32,Deals!$T$2:$T$301,0)),"")</f>
        <v/>
      </c>
    </row>
    <row r="33">
      <c r="A33" s="30" t="n">
        <v>11</v>
      </c>
      <c r="B33">
        <f>IF($C33="","",$A33)</f>
        <v/>
      </c>
      <c r="C33">
        <f>IFERROR(INDEX(Deals!$A$2:$A$301,MATCH($A33,Deals!$T$2:$T$301,0)),"")</f>
        <v/>
      </c>
      <c r="D33" s="24">
        <f>IFERROR(INDEX(Deals!$B$2:$B$301,MATCH($A33,Deals!$T$2:$T$301,0)),"")</f>
        <v/>
      </c>
      <c r="E33">
        <f>IFERROR(INDEX(Deals!$C$2:$C$301,MATCH($A33,Deals!$T$2:$T$301,0)),"")</f>
        <v/>
      </c>
      <c r="F33">
        <f>IFERROR(INDEX(Deals!$D$2:$D$301,MATCH($A33,Deals!$T$2:$T$301,0)),"")</f>
        <v/>
      </c>
      <c r="G33" s="17">
        <f>IFERROR(INDEX(Deals!$E$2:$E$301,MATCH($A33,Deals!$T$2:$T$301,0)),"")</f>
        <v/>
      </c>
      <c r="H33" s="23">
        <f>IFERROR(INDEX(Deals!$W$2:$W$301,MATCH($A33,Deals!$T$2:$T$301,0)),"")</f>
        <v/>
      </c>
      <c r="I33" s="17">
        <f>IFERROR(INDEX(Deals!$V$2:$V$301,MATCH($A33,Deals!$T$2:$T$301,0)),"")</f>
        <v/>
      </c>
      <c r="J33">
        <f>IFERROR(INDEX(Deals!$X$2:$X$301,MATCH($A33,Deals!$T$2:$T$301,0)),"")</f>
        <v/>
      </c>
    </row>
    <row r="34">
      <c r="A34" s="30" t="n">
        <v>12</v>
      </c>
      <c r="B34">
        <f>IF($C34="","",$A34)</f>
        <v/>
      </c>
      <c r="C34">
        <f>IFERROR(INDEX(Deals!$A$2:$A$301,MATCH($A34,Deals!$T$2:$T$301,0)),"")</f>
        <v/>
      </c>
      <c r="D34" s="24">
        <f>IFERROR(INDEX(Deals!$B$2:$B$301,MATCH($A34,Deals!$T$2:$T$301,0)),"")</f>
        <v/>
      </c>
      <c r="E34">
        <f>IFERROR(INDEX(Deals!$C$2:$C$301,MATCH($A34,Deals!$T$2:$T$301,0)),"")</f>
        <v/>
      </c>
      <c r="F34">
        <f>IFERROR(INDEX(Deals!$D$2:$D$301,MATCH($A34,Deals!$T$2:$T$301,0)),"")</f>
        <v/>
      </c>
      <c r="G34" s="17">
        <f>IFERROR(INDEX(Deals!$E$2:$E$301,MATCH($A34,Deals!$T$2:$T$301,0)),"")</f>
        <v/>
      </c>
      <c r="H34" s="23">
        <f>IFERROR(INDEX(Deals!$W$2:$W$301,MATCH($A34,Deals!$T$2:$T$301,0)),"")</f>
        <v/>
      </c>
      <c r="I34" s="17">
        <f>IFERROR(INDEX(Deals!$V$2:$V$301,MATCH($A34,Deals!$T$2:$T$301,0)),"")</f>
        <v/>
      </c>
      <c r="J34">
        <f>IFERROR(INDEX(Deals!$X$2:$X$301,MATCH($A34,Deals!$T$2:$T$301,0)),"")</f>
        <v/>
      </c>
    </row>
    <row r="35">
      <c r="A35" s="30" t="n">
        <v>13</v>
      </c>
      <c r="B35">
        <f>IF($C35="","",$A35)</f>
        <v/>
      </c>
      <c r="C35">
        <f>IFERROR(INDEX(Deals!$A$2:$A$301,MATCH($A35,Deals!$T$2:$T$301,0)),"")</f>
        <v/>
      </c>
      <c r="D35" s="24">
        <f>IFERROR(INDEX(Deals!$B$2:$B$301,MATCH($A35,Deals!$T$2:$T$301,0)),"")</f>
        <v/>
      </c>
      <c r="E35">
        <f>IFERROR(INDEX(Deals!$C$2:$C$301,MATCH($A35,Deals!$T$2:$T$301,0)),"")</f>
        <v/>
      </c>
      <c r="F35">
        <f>IFERROR(INDEX(Deals!$D$2:$D$301,MATCH($A35,Deals!$T$2:$T$301,0)),"")</f>
        <v/>
      </c>
      <c r="G35" s="17">
        <f>IFERROR(INDEX(Deals!$E$2:$E$301,MATCH($A35,Deals!$T$2:$T$301,0)),"")</f>
        <v/>
      </c>
      <c r="H35" s="23">
        <f>IFERROR(INDEX(Deals!$W$2:$W$301,MATCH($A35,Deals!$T$2:$T$301,0)),"")</f>
        <v/>
      </c>
      <c r="I35" s="17">
        <f>IFERROR(INDEX(Deals!$V$2:$V$301,MATCH($A35,Deals!$T$2:$T$301,0)),"")</f>
        <v/>
      </c>
      <c r="J35">
        <f>IFERROR(INDEX(Deals!$X$2:$X$301,MATCH($A35,Deals!$T$2:$T$301,0)),"")</f>
        <v/>
      </c>
    </row>
    <row r="36">
      <c r="A36" s="30" t="n">
        <v>14</v>
      </c>
      <c r="B36">
        <f>IF($C36="","",$A36)</f>
        <v/>
      </c>
      <c r="C36">
        <f>IFERROR(INDEX(Deals!$A$2:$A$301,MATCH($A36,Deals!$T$2:$T$301,0)),"")</f>
        <v/>
      </c>
      <c r="D36" s="24">
        <f>IFERROR(INDEX(Deals!$B$2:$B$301,MATCH($A36,Deals!$T$2:$T$301,0)),"")</f>
        <v/>
      </c>
      <c r="E36">
        <f>IFERROR(INDEX(Deals!$C$2:$C$301,MATCH($A36,Deals!$T$2:$T$301,0)),"")</f>
        <v/>
      </c>
      <c r="F36">
        <f>IFERROR(INDEX(Deals!$D$2:$D$301,MATCH($A36,Deals!$T$2:$T$301,0)),"")</f>
        <v/>
      </c>
      <c r="G36" s="17">
        <f>IFERROR(INDEX(Deals!$E$2:$E$301,MATCH($A36,Deals!$T$2:$T$301,0)),"")</f>
        <v/>
      </c>
      <c r="H36" s="23">
        <f>IFERROR(INDEX(Deals!$W$2:$W$301,MATCH($A36,Deals!$T$2:$T$301,0)),"")</f>
        <v/>
      </c>
      <c r="I36" s="17">
        <f>IFERROR(INDEX(Deals!$V$2:$V$301,MATCH($A36,Deals!$T$2:$T$301,0)),"")</f>
        <v/>
      </c>
      <c r="J36">
        <f>IFERROR(INDEX(Deals!$X$2:$X$301,MATCH($A36,Deals!$T$2:$T$301,0)),"")</f>
        <v/>
      </c>
    </row>
    <row r="37">
      <c r="A37" s="30" t="n">
        <v>15</v>
      </c>
      <c r="B37">
        <f>IF($C37="","",$A37)</f>
        <v/>
      </c>
      <c r="C37">
        <f>IFERROR(INDEX(Deals!$A$2:$A$301,MATCH($A37,Deals!$T$2:$T$301,0)),"")</f>
        <v/>
      </c>
      <c r="D37" s="24">
        <f>IFERROR(INDEX(Deals!$B$2:$B$301,MATCH($A37,Deals!$T$2:$T$301,0)),"")</f>
        <v/>
      </c>
      <c r="E37">
        <f>IFERROR(INDEX(Deals!$C$2:$C$301,MATCH($A37,Deals!$T$2:$T$301,0)),"")</f>
        <v/>
      </c>
      <c r="F37">
        <f>IFERROR(INDEX(Deals!$D$2:$D$301,MATCH($A37,Deals!$T$2:$T$301,0)),"")</f>
        <v/>
      </c>
      <c r="G37" s="17">
        <f>IFERROR(INDEX(Deals!$E$2:$E$301,MATCH($A37,Deals!$T$2:$T$301,0)),"")</f>
        <v/>
      </c>
      <c r="H37" s="23">
        <f>IFERROR(INDEX(Deals!$W$2:$W$301,MATCH($A37,Deals!$T$2:$T$301,0)),"")</f>
        <v/>
      </c>
      <c r="I37" s="17">
        <f>IFERROR(INDEX(Deals!$V$2:$V$301,MATCH($A37,Deals!$T$2:$T$301,0)),"")</f>
        <v/>
      </c>
      <c r="J37">
        <f>IFERROR(INDEX(Deals!$X$2:$X$301,MATCH($A37,Deals!$T$2:$T$301,0)),"")</f>
        <v/>
      </c>
    </row>
    <row r="38">
      <c r="A38" s="30" t="n">
        <v>16</v>
      </c>
      <c r="B38">
        <f>IF($C38="","",$A38)</f>
        <v/>
      </c>
      <c r="C38">
        <f>IFERROR(INDEX(Deals!$A$2:$A$301,MATCH($A38,Deals!$T$2:$T$301,0)),"")</f>
        <v/>
      </c>
      <c r="D38" s="24">
        <f>IFERROR(INDEX(Deals!$B$2:$B$301,MATCH($A38,Deals!$T$2:$T$301,0)),"")</f>
        <v/>
      </c>
      <c r="E38">
        <f>IFERROR(INDEX(Deals!$C$2:$C$301,MATCH($A38,Deals!$T$2:$T$301,0)),"")</f>
        <v/>
      </c>
      <c r="F38">
        <f>IFERROR(INDEX(Deals!$D$2:$D$301,MATCH($A38,Deals!$T$2:$T$301,0)),"")</f>
        <v/>
      </c>
      <c r="G38" s="17">
        <f>IFERROR(INDEX(Deals!$E$2:$E$301,MATCH($A38,Deals!$T$2:$T$301,0)),"")</f>
        <v/>
      </c>
      <c r="H38" s="23">
        <f>IFERROR(INDEX(Deals!$W$2:$W$301,MATCH($A38,Deals!$T$2:$T$301,0)),"")</f>
        <v/>
      </c>
      <c r="I38" s="17">
        <f>IFERROR(INDEX(Deals!$V$2:$V$301,MATCH($A38,Deals!$T$2:$T$301,0)),"")</f>
        <v/>
      </c>
      <c r="J38">
        <f>IFERROR(INDEX(Deals!$X$2:$X$301,MATCH($A38,Deals!$T$2:$T$301,0)),"")</f>
        <v/>
      </c>
    </row>
    <row r="39">
      <c r="A39" s="30" t="n">
        <v>17</v>
      </c>
      <c r="B39">
        <f>IF($C39="","",$A39)</f>
        <v/>
      </c>
      <c r="C39">
        <f>IFERROR(INDEX(Deals!$A$2:$A$301,MATCH($A39,Deals!$T$2:$T$301,0)),"")</f>
        <v/>
      </c>
      <c r="D39" s="24">
        <f>IFERROR(INDEX(Deals!$B$2:$B$301,MATCH($A39,Deals!$T$2:$T$301,0)),"")</f>
        <v/>
      </c>
      <c r="E39">
        <f>IFERROR(INDEX(Deals!$C$2:$C$301,MATCH($A39,Deals!$T$2:$T$301,0)),"")</f>
        <v/>
      </c>
      <c r="F39">
        <f>IFERROR(INDEX(Deals!$D$2:$D$301,MATCH($A39,Deals!$T$2:$T$301,0)),"")</f>
        <v/>
      </c>
      <c r="G39" s="17">
        <f>IFERROR(INDEX(Deals!$E$2:$E$301,MATCH($A39,Deals!$T$2:$T$301,0)),"")</f>
        <v/>
      </c>
      <c r="H39" s="23">
        <f>IFERROR(INDEX(Deals!$W$2:$W$301,MATCH($A39,Deals!$T$2:$T$301,0)),"")</f>
        <v/>
      </c>
      <c r="I39" s="17">
        <f>IFERROR(INDEX(Deals!$V$2:$V$301,MATCH($A39,Deals!$T$2:$T$301,0)),"")</f>
        <v/>
      </c>
      <c r="J39">
        <f>IFERROR(INDEX(Deals!$X$2:$X$301,MATCH($A39,Deals!$T$2:$T$301,0)),"")</f>
        <v/>
      </c>
    </row>
    <row r="40">
      <c r="A40" s="30" t="n">
        <v>18</v>
      </c>
      <c r="B40">
        <f>IF($C40="","",$A40)</f>
        <v/>
      </c>
      <c r="C40">
        <f>IFERROR(INDEX(Deals!$A$2:$A$301,MATCH($A40,Deals!$T$2:$T$301,0)),"")</f>
        <v/>
      </c>
      <c r="D40" s="24">
        <f>IFERROR(INDEX(Deals!$B$2:$B$301,MATCH($A40,Deals!$T$2:$T$301,0)),"")</f>
        <v/>
      </c>
      <c r="E40">
        <f>IFERROR(INDEX(Deals!$C$2:$C$301,MATCH($A40,Deals!$T$2:$T$301,0)),"")</f>
        <v/>
      </c>
      <c r="F40">
        <f>IFERROR(INDEX(Deals!$D$2:$D$301,MATCH($A40,Deals!$T$2:$T$301,0)),"")</f>
        <v/>
      </c>
      <c r="G40" s="17">
        <f>IFERROR(INDEX(Deals!$E$2:$E$301,MATCH($A40,Deals!$T$2:$T$301,0)),"")</f>
        <v/>
      </c>
      <c r="H40" s="23">
        <f>IFERROR(INDEX(Deals!$W$2:$W$301,MATCH($A40,Deals!$T$2:$T$301,0)),"")</f>
        <v/>
      </c>
      <c r="I40" s="17">
        <f>IFERROR(INDEX(Deals!$V$2:$V$301,MATCH($A40,Deals!$T$2:$T$301,0)),"")</f>
        <v/>
      </c>
      <c r="J40">
        <f>IFERROR(INDEX(Deals!$X$2:$X$301,MATCH($A40,Deals!$T$2:$T$301,0)),"")</f>
        <v/>
      </c>
    </row>
    <row r="41">
      <c r="A41" s="30" t="n">
        <v>19</v>
      </c>
      <c r="B41">
        <f>IF($C41="","",$A41)</f>
        <v/>
      </c>
      <c r="C41">
        <f>IFERROR(INDEX(Deals!$A$2:$A$301,MATCH($A41,Deals!$T$2:$T$301,0)),"")</f>
        <v/>
      </c>
      <c r="D41" s="24">
        <f>IFERROR(INDEX(Deals!$B$2:$B$301,MATCH($A41,Deals!$T$2:$T$301,0)),"")</f>
        <v/>
      </c>
      <c r="E41">
        <f>IFERROR(INDEX(Deals!$C$2:$C$301,MATCH($A41,Deals!$T$2:$T$301,0)),"")</f>
        <v/>
      </c>
      <c r="F41">
        <f>IFERROR(INDEX(Deals!$D$2:$D$301,MATCH($A41,Deals!$T$2:$T$301,0)),"")</f>
        <v/>
      </c>
      <c r="G41" s="17">
        <f>IFERROR(INDEX(Deals!$E$2:$E$301,MATCH($A41,Deals!$T$2:$T$301,0)),"")</f>
        <v/>
      </c>
      <c r="H41" s="23">
        <f>IFERROR(INDEX(Deals!$W$2:$W$301,MATCH($A41,Deals!$T$2:$T$301,0)),"")</f>
        <v/>
      </c>
      <c r="I41" s="17">
        <f>IFERROR(INDEX(Deals!$V$2:$V$301,MATCH($A41,Deals!$T$2:$T$301,0)),"")</f>
        <v/>
      </c>
      <c r="J41">
        <f>IFERROR(INDEX(Deals!$X$2:$X$301,MATCH($A41,Deals!$T$2:$T$301,0)),"")</f>
        <v/>
      </c>
    </row>
    <row r="42">
      <c r="A42" s="30" t="n">
        <v>20</v>
      </c>
      <c r="B42">
        <f>IF($C42="","",$A42)</f>
        <v/>
      </c>
      <c r="C42">
        <f>IFERROR(INDEX(Deals!$A$2:$A$301,MATCH($A42,Deals!$T$2:$T$301,0)),"")</f>
        <v/>
      </c>
      <c r="D42" s="24">
        <f>IFERROR(INDEX(Deals!$B$2:$B$301,MATCH($A42,Deals!$T$2:$T$301,0)),"")</f>
        <v/>
      </c>
      <c r="E42">
        <f>IFERROR(INDEX(Deals!$C$2:$C$301,MATCH($A42,Deals!$T$2:$T$301,0)),"")</f>
        <v/>
      </c>
      <c r="F42">
        <f>IFERROR(INDEX(Deals!$D$2:$D$301,MATCH($A42,Deals!$T$2:$T$301,0)),"")</f>
        <v/>
      </c>
      <c r="G42" s="17">
        <f>IFERROR(INDEX(Deals!$E$2:$E$301,MATCH($A42,Deals!$T$2:$T$301,0)),"")</f>
        <v/>
      </c>
      <c r="H42" s="23">
        <f>IFERROR(INDEX(Deals!$W$2:$W$301,MATCH($A42,Deals!$T$2:$T$301,0)),"")</f>
        <v/>
      </c>
      <c r="I42" s="17">
        <f>IFERROR(INDEX(Deals!$V$2:$V$301,MATCH($A42,Deals!$T$2:$T$301,0)),"")</f>
        <v/>
      </c>
      <c r="J42">
        <f>IFERROR(INDEX(Deals!$X$2:$X$301,MATCH($A42,Deals!$T$2:$T$301,0)),"")</f>
        <v/>
      </c>
    </row>
    <row r="43">
      <c r="A43" s="30" t="n">
        <v>21</v>
      </c>
      <c r="B43">
        <f>IF($C43="","",$A43)</f>
        <v/>
      </c>
      <c r="C43">
        <f>IFERROR(INDEX(Deals!$A$2:$A$301,MATCH($A43,Deals!$T$2:$T$301,0)),"")</f>
        <v/>
      </c>
      <c r="D43" s="24">
        <f>IFERROR(INDEX(Deals!$B$2:$B$301,MATCH($A43,Deals!$T$2:$T$301,0)),"")</f>
        <v/>
      </c>
      <c r="E43">
        <f>IFERROR(INDEX(Deals!$C$2:$C$301,MATCH($A43,Deals!$T$2:$T$301,0)),"")</f>
        <v/>
      </c>
      <c r="F43">
        <f>IFERROR(INDEX(Deals!$D$2:$D$301,MATCH($A43,Deals!$T$2:$T$301,0)),"")</f>
        <v/>
      </c>
      <c r="G43" s="17">
        <f>IFERROR(INDEX(Deals!$E$2:$E$301,MATCH($A43,Deals!$T$2:$T$301,0)),"")</f>
        <v/>
      </c>
      <c r="H43" s="23">
        <f>IFERROR(INDEX(Deals!$W$2:$W$301,MATCH($A43,Deals!$T$2:$T$301,0)),"")</f>
        <v/>
      </c>
      <c r="I43" s="17">
        <f>IFERROR(INDEX(Deals!$V$2:$V$301,MATCH($A43,Deals!$T$2:$T$301,0)),"")</f>
        <v/>
      </c>
      <c r="J43">
        <f>IFERROR(INDEX(Deals!$X$2:$X$301,MATCH($A43,Deals!$T$2:$T$301,0)),"")</f>
        <v/>
      </c>
    </row>
    <row r="44">
      <c r="A44" s="30" t="n">
        <v>22</v>
      </c>
      <c r="B44">
        <f>IF($C44="","",$A44)</f>
        <v/>
      </c>
      <c r="C44">
        <f>IFERROR(INDEX(Deals!$A$2:$A$301,MATCH($A44,Deals!$T$2:$T$301,0)),"")</f>
        <v/>
      </c>
      <c r="D44" s="24">
        <f>IFERROR(INDEX(Deals!$B$2:$B$301,MATCH($A44,Deals!$T$2:$T$301,0)),"")</f>
        <v/>
      </c>
      <c r="E44">
        <f>IFERROR(INDEX(Deals!$C$2:$C$301,MATCH($A44,Deals!$T$2:$T$301,0)),"")</f>
        <v/>
      </c>
      <c r="F44">
        <f>IFERROR(INDEX(Deals!$D$2:$D$301,MATCH($A44,Deals!$T$2:$T$301,0)),"")</f>
        <v/>
      </c>
      <c r="G44" s="17">
        <f>IFERROR(INDEX(Deals!$E$2:$E$301,MATCH($A44,Deals!$T$2:$T$301,0)),"")</f>
        <v/>
      </c>
      <c r="H44" s="23">
        <f>IFERROR(INDEX(Deals!$W$2:$W$301,MATCH($A44,Deals!$T$2:$T$301,0)),"")</f>
        <v/>
      </c>
      <c r="I44" s="17">
        <f>IFERROR(INDEX(Deals!$V$2:$V$301,MATCH($A44,Deals!$T$2:$T$301,0)),"")</f>
        <v/>
      </c>
      <c r="J44">
        <f>IFERROR(INDEX(Deals!$X$2:$X$301,MATCH($A44,Deals!$T$2:$T$301,0)),"")</f>
        <v/>
      </c>
    </row>
    <row r="45">
      <c r="A45" s="30" t="n">
        <v>23</v>
      </c>
      <c r="B45">
        <f>IF($C45="","",$A45)</f>
        <v/>
      </c>
      <c r="C45">
        <f>IFERROR(INDEX(Deals!$A$2:$A$301,MATCH($A45,Deals!$T$2:$T$301,0)),"")</f>
        <v/>
      </c>
      <c r="D45" s="24">
        <f>IFERROR(INDEX(Deals!$B$2:$B$301,MATCH($A45,Deals!$T$2:$T$301,0)),"")</f>
        <v/>
      </c>
      <c r="E45">
        <f>IFERROR(INDEX(Deals!$C$2:$C$301,MATCH($A45,Deals!$T$2:$T$301,0)),"")</f>
        <v/>
      </c>
      <c r="F45">
        <f>IFERROR(INDEX(Deals!$D$2:$D$301,MATCH($A45,Deals!$T$2:$T$301,0)),"")</f>
        <v/>
      </c>
      <c r="G45" s="17">
        <f>IFERROR(INDEX(Deals!$E$2:$E$301,MATCH($A45,Deals!$T$2:$T$301,0)),"")</f>
        <v/>
      </c>
      <c r="H45" s="23">
        <f>IFERROR(INDEX(Deals!$W$2:$W$301,MATCH($A45,Deals!$T$2:$T$301,0)),"")</f>
        <v/>
      </c>
      <c r="I45" s="17">
        <f>IFERROR(INDEX(Deals!$V$2:$V$301,MATCH($A45,Deals!$T$2:$T$301,0)),"")</f>
        <v/>
      </c>
      <c r="J45">
        <f>IFERROR(INDEX(Deals!$X$2:$X$301,MATCH($A45,Deals!$T$2:$T$301,0)),"")</f>
        <v/>
      </c>
    </row>
    <row r="46">
      <c r="A46" s="30" t="n">
        <v>24</v>
      </c>
      <c r="B46">
        <f>IF($C46="","",$A46)</f>
        <v/>
      </c>
      <c r="C46">
        <f>IFERROR(INDEX(Deals!$A$2:$A$301,MATCH($A46,Deals!$T$2:$T$301,0)),"")</f>
        <v/>
      </c>
      <c r="D46" s="24">
        <f>IFERROR(INDEX(Deals!$B$2:$B$301,MATCH($A46,Deals!$T$2:$T$301,0)),"")</f>
        <v/>
      </c>
      <c r="E46">
        <f>IFERROR(INDEX(Deals!$C$2:$C$301,MATCH($A46,Deals!$T$2:$T$301,0)),"")</f>
        <v/>
      </c>
      <c r="F46">
        <f>IFERROR(INDEX(Deals!$D$2:$D$301,MATCH($A46,Deals!$T$2:$T$301,0)),"")</f>
        <v/>
      </c>
      <c r="G46" s="17">
        <f>IFERROR(INDEX(Deals!$E$2:$E$301,MATCH($A46,Deals!$T$2:$T$301,0)),"")</f>
        <v/>
      </c>
      <c r="H46" s="23">
        <f>IFERROR(INDEX(Deals!$W$2:$W$301,MATCH($A46,Deals!$T$2:$T$301,0)),"")</f>
        <v/>
      </c>
      <c r="I46" s="17">
        <f>IFERROR(INDEX(Deals!$V$2:$V$301,MATCH($A46,Deals!$T$2:$T$301,0)),"")</f>
        <v/>
      </c>
      <c r="J46">
        <f>IFERROR(INDEX(Deals!$X$2:$X$301,MATCH($A46,Deals!$T$2:$T$301,0)),"")</f>
        <v/>
      </c>
    </row>
    <row r="47">
      <c r="A47" s="30" t="n">
        <v>25</v>
      </c>
      <c r="B47">
        <f>IF($C47="","",$A47)</f>
        <v/>
      </c>
      <c r="C47">
        <f>IFERROR(INDEX(Deals!$A$2:$A$301,MATCH($A47,Deals!$T$2:$T$301,0)),"")</f>
        <v/>
      </c>
      <c r="D47" s="24">
        <f>IFERROR(INDEX(Deals!$B$2:$B$301,MATCH($A47,Deals!$T$2:$T$301,0)),"")</f>
        <v/>
      </c>
      <c r="E47">
        <f>IFERROR(INDEX(Deals!$C$2:$C$301,MATCH($A47,Deals!$T$2:$T$301,0)),"")</f>
        <v/>
      </c>
      <c r="F47">
        <f>IFERROR(INDEX(Deals!$D$2:$D$301,MATCH($A47,Deals!$T$2:$T$301,0)),"")</f>
        <v/>
      </c>
      <c r="G47" s="17">
        <f>IFERROR(INDEX(Deals!$E$2:$E$301,MATCH($A47,Deals!$T$2:$T$301,0)),"")</f>
        <v/>
      </c>
      <c r="H47" s="23">
        <f>IFERROR(INDEX(Deals!$W$2:$W$301,MATCH($A47,Deals!$T$2:$T$301,0)),"")</f>
        <v/>
      </c>
      <c r="I47" s="17">
        <f>IFERROR(INDEX(Deals!$V$2:$V$301,MATCH($A47,Deals!$T$2:$T$301,0)),"")</f>
        <v/>
      </c>
      <c r="J47">
        <f>IFERROR(INDEX(Deals!$X$2:$X$301,MATCH($A47,Deals!$T$2:$T$301,0)),"")</f>
        <v/>
      </c>
    </row>
    <row r="48">
      <c r="A48" s="30" t="n">
        <v>26</v>
      </c>
      <c r="B48">
        <f>IF($C48="","",$A48)</f>
        <v/>
      </c>
      <c r="C48">
        <f>IFERROR(INDEX(Deals!$A$2:$A$301,MATCH($A48,Deals!$T$2:$T$301,0)),"")</f>
        <v/>
      </c>
      <c r="D48" s="24">
        <f>IFERROR(INDEX(Deals!$B$2:$B$301,MATCH($A48,Deals!$T$2:$T$301,0)),"")</f>
        <v/>
      </c>
      <c r="E48">
        <f>IFERROR(INDEX(Deals!$C$2:$C$301,MATCH($A48,Deals!$T$2:$T$301,0)),"")</f>
        <v/>
      </c>
      <c r="F48">
        <f>IFERROR(INDEX(Deals!$D$2:$D$301,MATCH($A48,Deals!$T$2:$T$301,0)),"")</f>
        <v/>
      </c>
      <c r="G48" s="17">
        <f>IFERROR(INDEX(Deals!$E$2:$E$301,MATCH($A48,Deals!$T$2:$T$301,0)),"")</f>
        <v/>
      </c>
      <c r="H48" s="23">
        <f>IFERROR(INDEX(Deals!$W$2:$W$301,MATCH($A48,Deals!$T$2:$T$301,0)),"")</f>
        <v/>
      </c>
      <c r="I48" s="17">
        <f>IFERROR(INDEX(Deals!$V$2:$V$301,MATCH($A48,Deals!$T$2:$T$301,0)),"")</f>
        <v/>
      </c>
      <c r="J48">
        <f>IFERROR(INDEX(Deals!$X$2:$X$301,MATCH($A48,Deals!$T$2:$T$301,0)),"")</f>
        <v/>
      </c>
    </row>
    <row r="49">
      <c r="A49" s="30" t="n">
        <v>27</v>
      </c>
      <c r="B49">
        <f>IF($C49="","",$A49)</f>
        <v/>
      </c>
      <c r="C49">
        <f>IFERROR(INDEX(Deals!$A$2:$A$301,MATCH($A49,Deals!$T$2:$T$301,0)),"")</f>
        <v/>
      </c>
      <c r="D49" s="24">
        <f>IFERROR(INDEX(Deals!$B$2:$B$301,MATCH($A49,Deals!$T$2:$T$301,0)),"")</f>
        <v/>
      </c>
      <c r="E49">
        <f>IFERROR(INDEX(Deals!$C$2:$C$301,MATCH($A49,Deals!$T$2:$T$301,0)),"")</f>
        <v/>
      </c>
      <c r="F49">
        <f>IFERROR(INDEX(Deals!$D$2:$D$301,MATCH($A49,Deals!$T$2:$T$301,0)),"")</f>
        <v/>
      </c>
      <c r="G49" s="17">
        <f>IFERROR(INDEX(Deals!$E$2:$E$301,MATCH($A49,Deals!$T$2:$T$301,0)),"")</f>
        <v/>
      </c>
      <c r="H49" s="23">
        <f>IFERROR(INDEX(Deals!$W$2:$W$301,MATCH($A49,Deals!$T$2:$T$301,0)),"")</f>
        <v/>
      </c>
      <c r="I49" s="17">
        <f>IFERROR(INDEX(Deals!$V$2:$V$301,MATCH($A49,Deals!$T$2:$T$301,0)),"")</f>
        <v/>
      </c>
      <c r="J49">
        <f>IFERROR(INDEX(Deals!$X$2:$X$301,MATCH($A49,Deals!$T$2:$T$301,0)),"")</f>
        <v/>
      </c>
    </row>
    <row r="50">
      <c r="A50" s="30" t="n">
        <v>28</v>
      </c>
      <c r="B50">
        <f>IF($C50="","",$A50)</f>
        <v/>
      </c>
      <c r="C50">
        <f>IFERROR(INDEX(Deals!$A$2:$A$301,MATCH($A50,Deals!$T$2:$T$301,0)),"")</f>
        <v/>
      </c>
      <c r="D50" s="24">
        <f>IFERROR(INDEX(Deals!$B$2:$B$301,MATCH($A50,Deals!$T$2:$T$301,0)),"")</f>
        <v/>
      </c>
      <c r="E50">
        <f>IFERROR(INDEX(Deals!$C$2:$C$301,MATCH($A50,Deals!$T$2:$T$301,0)),"")</f>
        <v/>
      </c>
      <c r="F50">
        <f>IFERROR(INDEX(Deals!$D$2:$D$301,MATCH($A50,Deals!$T$2:$T$301,0)),"")</f>
        <v/>
      </c>
      <c r="G50" s="17">
        <f>IFERROR(INDEX(Deals!$E$2:$E$301,MATCH($A50,Deals!$T$2:$T$301,0)),"")</f>
        <v/>
      </c>
      <c r="H50" s="23">
        <f>IFERROR(INDEX(Deals!$W$2:$W$301,MATCH($A50,Deals!$T$2:$T$301,0)),"")</f>
        <v/>
      </c>
      <c r="I50" s="17">
        <f>IFERROR(INDEX(Deals!$V$2:$V$301,MATCH($A50,Deals!$T$2:$T$301,0)),"")</f>
        <v/>
      </c>
      <c r="J50">
        <f>IFERROR(INDEX(Deals!$X$2:$X$301,MATCH($A50,Deals!$T$2:$T$301,0)),"")</f>
        <v/>
      </c>
    </row>
    <row r="51">
      <c r="A51" s="30" t="n">
        <v>29</v>
      </c>
      <c r="B51">
        <f>IF($C51="","",$A51)</f>
        <v/>
      </c>
      <c r="C51">
        <f>IFERROR(INDEX(Deals!$A$2:$A$301,MATCH($A51,Deals!$T$2:$T$301,0)),"")</f>
        <v/>
      </c>
      <c r="D51" s="24">
        <f>IFERROR(INDEX(Deals!$B$2:$B$301,MATCH($A51,Deals!$T$2:$T$301,0)),"")</f>
        <v/>
      </c>
      <c r="E51">
        <f>IFERROR(INDEX(Deals!$C$2:$C$301,MATCH($A51,Deals!$T$2:$T$301,0)),"")</f>
        <v/>
      </c>
      <c r="F51">
        <f>IFERROR(INDEX(Deals!$D$2:$D$301,MATCH($A51,Deals!$T$2:$T$301,0)),"")</f>
        <v/>
      </c>
      <c r="G51" s="17">
        <f>IFERROR(INDEX(Deals!$E$2:$E$301,MATCH($A51,Deals!$T$2:$T$301,0)),"")</f>
        <v/>
      </c>
      <c r="H51" s="23">
        <f>IFERROR(INDEX(Deals!$W$2:$W$301,MATCH($A51,Deals!$T$2:$T$301,0)),"")</f>
        <v/>
      </c>
      <c r="I51" s="17">
        <f>IFERROR(INDEX(Deals!$V$2:$V$301,MATCH($A51,Deals!$T$2:$T$301,0)),"")</f>
        <v/>
      </c>
      <c r="J51">
        <f>IFERROR(INDEX(Deals!$X$2:$X$301,MATCH($A51,Deals!$T$2:$T$301,0)),"")</f>
        <v/>
      </c>
    </row>
    <row r="52">
      <c r="A52" s="30" t="n">
        <v>30</v>
      </c>
      <c r="B52">
        <f>IF($C52="","",$A52)</f>
        <v/>
      </c>
      <c r="C52">
        <f>IFERROR(INDEX(Deals!$A$2:$A$301,MATCH($A52,Deals!$T$2:$T$301,0)),"")</f>
        <v/>
      </c>
      <c r="D52" s="24">
        <f>IFERROR(INDEX(Deals!$B$2:$B$301,MATCH($A52,Deals!$T$2:$T$301,0)),"")</f>
        <v/>
      </c>
      <c r="E52">
        <f>IFERROR(INDEX(Deals!$C$2:$C$301,MATCH($A52,Deals!$T$2:$T$301,0)),"")</f>
        <v/>
      </c>
      <c r="F52">
        <f>IFERROR(INDEX(Deals!$D$2:$D$301,MATCH($A52,Deals!$T$2:$T$301,0)),"")</f>
        <v/>
      </c>
      <c r="G52" s="17">
        <f>IFERROR(INDEX(Deals!$E$2:$E$301,MATCH($A52,Deals!$T$2:$T$301,0)),"")</f>
        <v/>
      </c>
      <c r="H52" s="23">
        <f>IFERROR(INDEX(Deals!$W$2:$W$301,MATCH($A52,Deals!$T$2:$T$301,0)),"")</f>
        <v/>
      </c>
      <c r="I52" s="17">
        <f>IFERROR(INDEX(Deals!$V$2:$V$301,MATCH($A52,Deals!$T$2:$T$301,0)),"")</f>
        <v/>
      </c>
      <c r="J52">
        <f>IFERROR(INDEX(Deals!$X$2:$X$301,MATCH($A52,Deals!$T$2:$T$301,0)),"")</f>
        <v/>
      </c>
    </row>
    <row r="53">
      <c r="B53" s="7" t="inlineStr">
        <is>
          <t>Total credit on these lines</t>
        </is>
      </c>
      <c r="I53" s="31">
        <f>SUM(I23:I52)</f>
        <v/>
      </c>
    </row>
    <row r="54">
      <c r="B54" s="7" t="inlineStr">
        <is>
          <t>Check</t>
        </is>
      </c>
      <c r="C54">
        <f>IF(ABS(N($I$53)-N($C$12))&lt;0.005,"Ties to the Calc tab","Does not tie: more than 30 lines, or check the Deals tab")</f>
        <v/>
      </c>
    </row>
  </sheetData>
  <dataValidations count="2">
    <dataValidation sqref="C3" showDropDown="0" showInputMessage="0" showErrorMessage="0" allowBlank="0" type="list">
      <formula1>='Plan setup'!$A$25:$A$34</formula1>
    </dataValidation>
    <dataValidation sqref="C4" showDropDown="0" showInputMessage="0" showErrorMessage="0" allowBlank="0" type="whole" operator="between">
      <formula1>1</formula1>
      <formula2>12</formula2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5" t="inlineStr">
        <is>
          <t>Summary</t>
        </is>
      </c>
    </row>
    <row r="2">
      <c r="A2" s="6">
        <f>"Year to date as of "&amp;TEXT(EDATE('Plan setup'!$B$3,'Plan setup'!$B$4)-1,"mmmm d, yyyy")&amp;" (change the month on Plan setup)"</f>
        <v/>
      </c>
    </row>
    <row r="4" ht="32" customHeight="1">
      <c r="A4" s="14" t="inlineStr">
        <is>
          <t>Rep</t>
        </is>
      </c>
      <c r="B4" s="14" t="inlineStr">
        <is>
          <t>Role</t>
        </is>
      </c>
      <c r="C4" s="14" t="inlineStr">
        <is>
          <t>Annual quota</t>
        </is>
      </c>
      <c r="D4" s="14" t="inlineStr">
        <is>
          <t>Credit YTD</t>
        </is>
      </c>
      <c r="E4" s="14" t="inlineStr">
        <is>
          <t>Attainment</t>
        </is>
      </c>
      <c r="F4" s="14" t="inlineStr">
        <is>
          <t>Current tier</t>
        </is>
      </c>
      <c r="G4" s="14" t="inlineStr">
        <is>
          <t>Earned YTD</t>
        </is>
      </c>
      <c r="H4" s="14" t="inlineStr">
        <is>
          <t>Paid YTD</t>
        </is>
      </c>
      <c r="I4" s="14" t="inlineStr">
        <is>
          <t>Owed back</t>
        </is>
      </c>
      <c r="J4" s="14" t="inlineStr">
        <is>
          <t>Payable this month</t>
        </is>
      </c>
      <c r="K4" s="14" t="inlineStr">
        <is>
          <t>Effective rate</t>
        </is>
      </c>
    </row>
    <row r="5">
      <c r="A5">
        <f>IF('Plan setup'!$A$25="","",'Plan setup'!$A$25)</f>
        <v/>
      </c>
      <c r="B5">
        <f>IF('Plan setup'!$A$25="","",'Plan setup'!$B$25)</f>
        <v/>
      </c>
      <c r="C5" s="17">
        <f>IF($A5="","",IFERROR(INDEX(Calc!$G$2:$G$121,MATCH($A5&amp;"|"&amp;'Plan setup'!$B$4,Calc!$F$2:$F$121,0)),""))</f>
        <v/>
      </c>
      <c r="D5" s="17">
        <f>IF($A5="","",IFERROR(INDEX(Calc!$L$2:$L$121,MATCH($A5&amp;"|"&amp;'Plan setup'!$B$4,Calc!$F$2:$F$121,0)),""))</f>
        <v/>
      </c>
      <c r="E5" s="25">
        <f>IF($A5="","",IFERROR(INDEX(Calc!$M$2:$M$121,MATCH($A5&amp;"|"&amp;'Plan setup'!$B$4,Calc!$F$2:$F$121,0)),""))</f>
        <v/>
      </c>
      <c r="F5">
        <f>IF($A5="","",IFERROR(INDEX(Calc!$W$2:$W$121,MATCH($A5&amp;"|"&amp;'Plan setup'!$B$4,Calc!$F$2:$F$121,0)),""))</f>
        <v/>
      </c>
      <c r="G5" s="17">
        <f>IF($A5="","",IFERROR(INDEX(Calc!$R$2:$R$121,MATCH($A5&amp;"|"&amp;'Plan setup'!$B$4,Calc!$F$2:$F$121,0)),""))</f>
        <v/>
      </c>
      <c r="H5" s="17">
        <f>IF($A5="","",IFERROR(INDEX(Calc!$U$2:$U$121,MATCH($A5&amp;"|"&amp;'Plan setup'!$B$4,Calc!$F$2:$F$121,0)),""))</f>
        <v/>
      </c>
      <c r="I5" s="17">
        <f>IF($A5="","",IFERROR(INDEX(Calc!$V$2:$V$121,MATCH($A5&amp;"|"&amp;'Plan setup'!$B$4,Calc!$F$2:$F$121,0)),""))</f>
        <v/>
      </c>
      <c r="J5" s="17">
        <f>IF($A5="","",IFERROR(INDEX(Calc!$T$2:$T$121,MATCH($A5&amp;"|"&amp;'Plan setup'!$B$4,Calc!$F$2:$F$121,0)),""))</f>
        <v/>
      </c>
      <c r="K5" s="16">
        <f>IF($A5="","",IFERROR(INDEX(Calc!$X$2:$X$121,MATCH($A5&amp;"|"&amp;'Plan setup'!$B$4,Calc!$F$2:$F$121,0)),""))</f>
        <v/>
      </c>
    </row>
    <row r="6">
      <c r="A6">
        <f>IF('Plan setup'!$A$26="","",'Plan setup'!$A$26)</f>
        <v/>
      </c>
      <c r="B6">
        <f>IF('Plan setup'!$A$26="","",'Plan setup'!$B$26)</f>
        <v/>
      </c>
      <c r="C6" s="17">
        <f>IF($A6="","",IFERROR(INDEX(Calc!$G$2:$G$121,MATCH($A6&amp;"|"&amp;'Plan setup'!$B$4,Calc!$F$2:$F$121,0)),""))</f>
        <v/>
      </c>
      <c r="D6" s="17">
        <f>IF($A6="","",IFERROR(INDEX(Calc!$L$2:$L$121,MATCH($A6&amp;"|"&amp;'Plan setup'!$B$4,Calc!$F$2:$F$121,0)),""))</f>
        <v/>
      </c>
      <c r="E6" s="25">
        <f>IF($A6="","",IFERROR(INDEX(Calc!$M$2:$M$121,MATCH($A6&amp;"|"&amp;'Plan setup'!$B$4,Calc!$F$2:$F$121,0)),""))</f>
        <v/>
      </c>
      <c r="F6">
        <f>IF($A6="","",IFERROR(INDEX(Calc!$W$2:$W$121,MATCH($A6&amp;"|"&amp;'Plan setup'!$B$4,Calc!$F$2:$F$121,0)),""))</f>
        <v/>
      </c>
      <c r="G6" s="17">
        <f>IF($A6="","",IFERROR(INDEX(Calc!$R$2:$R$121,MATCH($A6&amp;"|"&amp;'Plan setup'!$B$4,Calc!$F$2:$F$121,0)),""))</f>
        <v/>
      </c>
      <c r="H6" s="17">
        <f>IF($A6="","",IFERROR(INDEX(Calc!$U$2:$U$121,MATCH($A6&amp;"|"&amp;'Plan setup'!$B$4,Calc!$F$2:$F$121,0)),""))</f>
        <v/>
      </c>
      <c r="I6" s="17">
        <f>IF($A6="","",IFERROR(INDEX(Calc!$V$2:$V$121,MATCH($A6&amp;"|"&amp;'Plan setup'!$B$4,Calc!$F$2:$F$121,0)),""))</f>
        <v/>
      </c>
      <c r="J6" s="17">
        <f>IF($A6="","",IFERROR(INDEX(Calc!$T$2:$T$121,MATCH($A6&amp;"|"&amp;'Plan setup'!$B$4,Calc!$F$2:$F$121,0)),""))</f>
        <v/>
      </c>
      <c r="K6" s="16">
        <f>IF($A6="","",IFERROR(INDEX(Calc!$X$2:$X$121,MATCH($A6&amp;"|"&amp;'Plan setup'!$B$4,Calc!$F$2:$F$121,0)),""))</f>
        <v/>
      </c>
    </row>
    <row r="7">
      <c r="A7">
        <f>IF('Plan setup'!$A$27="","",'Plan setup'!$A$27)</f>
        <v/>
      </c>
      <c r="B7">
        <f>IF('Plan setup'!$A$27="","",'Plan setup'!$B$27)</f>
        <v/>
      </c>
      <c r="C7" s="17">
        <f>IF($A7="","",IFERROR(INDEX(Calc!$G$2:$G$121,MATCH($A7&amp;"|"&amp;'Plan setup'!$B$4,Calc!$F$2:$F$121,0)),""))</f>
        <v/>
      </c>
      <c r="D7" s="17">
        <f>IF($A7="","",IFERROR(INDEX(Calc!$L$2:$L$121,MATCH($A7&amp;"|"&amp;'Plan setup'!$B$4,Calc!$F$2:$F$121,0)),""))</f>
        <v/>
      </c>
      <c r="E7" s="25">
        <f>IF($A7="","",IFERROR(INDEX(Calc!$M$2:$M$121,MATCH($A7&amp;"|"&amp;'Plan setup'!$B$4,Calc!$F$2:$F$121,0)),""))</f>
        <v/>
      </c>
      <c r="F7">
        <f>IF($A7="","",IFERROR(INDEX(Calc!$W$2:$W$121,MATCH($A7&amp;"|"&amp;'Plan setup'!$B$4,Calc!$F$2:$F$121,0)),""))</f>
        <v/>
      </c>
      <c r="G7" s="17">
        <f>IF($A7="","",IFERROR(INDEX(Calc!$R$2:$R$121,MATCH($A7&amp;"|"&amp;'Plan setup'!$B$4,Calc!$F$2:$F$121,0)),""))</f>
        <v/>
      </c>
      <c r="H7" s="17">
        <f>IF($A7="","",IFERROR(INDEX(Calc!$U$2:$U$121,MATCH($A7&amp;"|"&amp;'Plan setup'!$B$4,Calc!$F$2:$F$121,0)),""))</f>
        <v/>
      </c>
      <c r="I7" s="17">
        <f>IF($A7="","",IFERROR(INDEX(Calc!$V$2:$V$121,MATCH($A7&amp;"|"&amp;'Plan setup'!$B$4,Calc!$F$2:$F$121,0)),""))</f>
        <v/>
      </c>
      <c r="J7" s="17">
        <f>IF($A7="","",IFERROR(INDEX(Calc!$T$2:$T$121,MATCH($A7&amp;"|"&amp;'Plan setup'!$B$4,Calc!$F$2:$F$121,0)),""))</f>
        <v/>
      </c>
      <c r="K7" s="16">
        <f>IF($A7="","",IFERROR(INDEX(Calc!$X$2:$X$121,MATCH($A7&amp;"|"&amp;'Plan setup'!$B$4,Calc!$F$2:$F$121,0)),""))</f>
        <v/>
      </c>
    </row>
    <row r="8">
      <c r="A8">
        <f>IF('Plan setup'!$A$28="","",'Plan setup'!$A$28)</f>
        <v/>
      </c>
      <c r="B8">
        <f>IF('Plan setup'!$A$28="","",'Plan setup'!$B$28)</f>
        <v/>
      </c>
      <c r="C8" s="17">
        <f>IF($A8="","",IFERROR(INDEX(Calc!$G$2:$G$121,MATCH($A8&amp;"|"&amp;'Plan setup'!$B$4,Calc!$F$2:$F$121,0)),""))</f>
        <v/>
      </c>
      <c r="D8" s="17">
        <f>IF($A8="","",IFERROR(INDEX(Calc!$L$2:$L$121,MATCH($A8&amp;"|"&amp;'Plan setup'!$B$4,Calc!$F$2:$F$121,0)),""))</f>
        <v/>
      </c>
      <c r="E8" s="25">
        <f>IF($A8="","",IFERROR(INDEX(Calc!$M$2:$M$121,MATCH($A8&amp;"|"&amp;'Plan setup'!$B$4,Calc!$F$2:$F$121,0)),""))</f>
        <v/>
      </c>
      <c r="F8">
        <f>IF($A8="","",IFERROR(INDEX(Calc!$W$2:$W$121,MATCH($A8&amp;"|"&amp;'Plan setup'!$B$4,Calc!$F$2:$F$121,0)),""))</f>
        <v/>
      </c>
      <c r="G8" s="17">
        <f>IF($A8="","",IFERROR(INDEX(Calc!$R$2:$R$121,MATCH($A8&amp;"|"&amp;'Plan setup'!$B$4,Calc!$F$2:$F$121,0)),""))</f>
        <v/>
      </c>
      <c r="H8" s="17">
        <f>IF($A8="","",IFERROR(INDEX(Calc!$U$2:$U$121,MATCH($A8&amp;"|"&amp;'Plan setup'!$B$4,Calc!$F$2:$F$121,0)),""))</f>
        <v/>
      </c>
      <c r="I8" s="17">
        <f>IF($A8="","",IFERROR(INDEX(Calc!$V$2:$V$121,MATCH($A8&amp;"|"&amp;'Plan setup'!$B$4,Calc!$F$2:$F$121,0)),""))</f>
        <v/>
      </c>
      <c r="J8" s="17">
        <f>IF($A8="","",IFERROR(INDEX(Calc!$T$2:$T$121,MATCH($A8&amp;"|"&amp;'Plan setup'!$B$4,Calc!$F$2:$F$121,0)),""))</f>
        <v/>
      </c>
      <c r="K8" s="16">
        <f>IF($A8="","",IFERROR(INDEX(Calc!$X$2:$X$121,MATCH($A8&amp;"|"&amp;'Plan setup'!$B$4,Calc!$F$2:$F$121,0)),""))</f>
        <v/>
      </c>
    </row>
    <row r="9">
      <c r="A9">
        <f>IF('Plan setup'!$A$29="","",'Plan setup'!$A$29)</f>
        <v/>
      </c>
      <c r="B9">
        <f>IF('Plan setup'!$A$29="","",'Plan setup'!$B$29)</f>
        <v/>
      </c>
      <c r="C9" s="17">
        <f>IF($A9="","",IFERROR(INDEX(Calc!$G$2:$G$121,MATCH($A9&amp;"|"&amp;'Plan setup'!$B$4,Calc!$F$2:$F$121,0)),""))</f>
        <v/>
      </c>
      <c r="D9" s="17">
        <f>IF($A9="","",IFERROR(INDEX(Calc!$L$2:$L$121,MATCH($A9&amp;"|"&amp;'Plan setup'!$B$4,Calc!$F$2:$F$121,0)),""))</f>
        <v/>
      </c>
      <c r="E9" s="25">
        <f>IF($A9="","",IFERROR(INDEX(Calc!$M$2:$M$121,MATCH($A9&amp;"|"&amp;'Plan setup'!$B$4,Calc!$F$2:$F$121,0)),""))</f>
        <v/>
      </c>
      <c r="F9">
        <f>IF($A9="","",IFERROR(INDEX(Calc!$W$2:$W$121,MATCH($A9&amp;"|"&amp;'Plan setup'!$B$4,Calc!$F$2:$F$121,0)),""))</f>
        <v/>
      </c>
      <c r="G9" s="17">
        <f>IF($A9="","",IFERROR(INDEX(Calc!$R$2:$R$121,MATCH($A9&amp;"|"&amp;'Plan setup'!$B$4,Calc!$F$2:$F$121,0)),""))</f>
        <v/>
      </c>
      <c r="H9" s="17">
        <f>IF($A9="","",IFERROR(INDEX(Calc!$U$2:$U$121,MATCH($A9&amp;"|"&amp;'Plan setup'!$B$4,Calc!$F$2:$F$121,0)),""))</f>
        <v/>
      </c>
      <c r="I9" s="17">
        <f>IF($A9="","",IFERROR(INDEX(Calc!$V$2:$V$121,MATCH($A9&amp;"|"&amp;'Plan setup'!$B$4,Calc!$F$2:$F$121,0)),""))</f>
        <v/>
      </c>
      <c r="J9" s="17">
        <f>IF($A9="","",IFERROR(INDEX(Calc!$T$2:$T$121,MATCH($A9&amp;"|"&amp;'Plan setup'!$B$4,Calc!$F$2:$F$121,0)),""))</f>
        <v/>
      </c>
      <c r="K9" s="16">
        <f>IF($A9="","",IFERROR(INDEX(Calc!$X$2:$X$121,MATCH($A9&amp;"|"&amp;'Plan setup'!$B$4,Calc!$F$2:$F$121,0)),""))</f>
        <v/>
      </c>
    </row>
    <row r="10">
      <c r="A10">
        <f>IF('Plan setup'!$A$30="","",'Plan setup'!$A$30)</f>
        <v/>
      </c>
      <c r="B10">
        <f>IF('Plan setup'!$A$30="","",'Plan setup'!$B$30)</f>
        <v/>
      </c>
      <c r="C10" s="17">
        <f>IF($A10="","",IFERROR(INDEX(Calc!$G$2:$G$121,MATCH($A10&amp;"|"&amp;'Plan setup'!$B$4,Calc!$F$2:$F$121,0)),""))</f>
        <v/>
      </c>
      <c r="D10" s="17">
        <f>IF($A10="","",IFERROR(INDEX(Calc!$L$2:$L$121,MATCH($A10&amp;"|"&amp;'Plan setup'!$B$4,Calc!$F$2:$F$121,0)),""))</f>
        <v/>
      </c>
      <c r="E10" s="25">
        <f>IF($A10="","",IFERROR(INDEX(Calc!$M$2:$M$121,MATCH($A10&amp;"|"&amp;'Plan setup'!$B$4,Calc!$F$2:$F$121,0)),""))</f>
        <v/>
      </c>
      <c r="F10">
        <f>IF($A10="","",IFERROR(INDEX(Calc!$W$2:$W$121,MATCH($A10&amp;"|"&amp;'Plan setup'!$B$4,Calc!$F$2:$F$121,0)),""))</f>
        <v/>
      </c>
      <c r="G10" s="17">
        <f>IF($A10="","",IFERROR(INDEX(Calc!$R$2:$R$121,MATCH($A10&amp;"|"&amp;'Plan setup'!$B$4,Calc!$F$2:$F$121,0)),""))</f>
        <v/>
      </c>
      <c r="H10" s="17">
        <f>IF($A10="","",IFERROR(INDEX(Calc!$U$2:$U$121,MATCH($A10&amp;"|"&amp;'Plan setup'!$B$4,Calc!$F$2:$F$121,0)),""))</f>
        <v/>
      </c>
      <c r="I10" s="17">
        <f>IF($A10="","",IFERROR(INDEX(Calc!$V$2:$V$121,MATCH($A10&amp;"|"&amp;'Plan setup'!$B$4,Calc!$F$2:$F$121,0)),""))</f>
        <v/>
      </c>
      <c r="J10" s="17">
        <f>IF($A10="","",IFERROR(INDEX(Calc!$T$2:$T$121,MATCH($A10&amp;"|"&amp;'Plan setup'!$B$4,Calc!$F$2:$F$121,0)),""))</f>
        <v/>
      </c>
      <c r="K10" s="16">
        <f>IF($A10="","",IFERROR(INDEX(Calc!$X$2:$X$121,MATCH($A10&amp;"|"&amp;'Plan setup'!$B$4,Calc!$F$2:$F$121,0)),""))</f>
        <v/>
      </c>
    </row>
    <row r="11">
      <c r="A11">
        <f>IF('Plan setup'!$A$31="","",'Plan setup'!$A$31)</f>
        <v/>
      </c>
      <c r="B11">
        <f>IF('Plan setup'!$A$31="","",'Plan setup'!$B$31)</f>
        <v/>
      </c>
      <c r="C11" s="17">
        <f>IF($A11="","",IFERROR(INDEX(Calc!$G$2:$G$121,MATCH($A11&amp;"|"&amp;'Plan setup'!$B$4,Calc!$F$2:$F$121,0)),""))</f>
        <v/>
      </c>
      <c r="D11" s="17">
        <f>IF($A11="","",IFERROR(INDEX(Calc!$L$2:$L$121,MATCH($A11&amp;"|"&amp;'Plan setup'!$B$4,Calc!$F$2:$F$121,0)),""))</f>
        <v/>
      </c>
      <c r="E11" s="25">
        <f>IF($A11="","",IFERROR(INDEX(Calc!$M$2:$M$121,MATCH($A11&amp;"|"&amp;'Plan setup'!$B$4,Calc!$F$2:$F$121,0)),""))</f>
        <v/>
      </c>
      <c r="F11">
        <f>IF($A11="","",IFERROR(INDEX(Calc!$W$2:$W$121,MATCH($A11&amp;"|"&amp;'Plan setup'!$B$4,Calc!$F$2:$F$121,0)),""))</f>
        <v/>
      </c>
      <c r="G11" s="17">
        <f>IF($A11="","",IFERROR(INDEX(Calc!$R$2:$R$121,MATCH($A11&amp;"|"&amp;'Plan setup'!$B$4,Calc!$F$2:$F$121,0)),""))</f>
        <v/>
      </c>
      <c r="H11" s="17">
        <f>IF($A11="","",IFERROR(INDEX(Calc!$U$2:$U$121,MATCH($A11&amp;"|"&amp;'Plan setup'!$B$4,Calc!$F$2:$F$121,0)),""))</f>
        <v/>
      </c>
      <c r="I11" s="17">
        <f>IF($A11="","",IFERROR(INDEX(Calc!$V$2:$V$121,MATCH($A11&amp;"|"&amp;'Plan setup'!$B$4,Calc!$F$2:$F$121,0)),""))</f>
        <v/>
      </c>
      <c r="J11" s="17">
        <f>IF($A11="","",IFERROR(INDEX(Calc!$T$2:$T$121,MATCH($A11&amp;"|"&amp;'Plan setup'!$B$4,Calc!$F$2:$F$121,0)),""))</f>
        <v/>
      </c>
      <c r="K11" s="16">
        <f>IF($A11="","",IFERROR(INDEX(Calc!$X$2:$X$121,MATCH($A11&amp;"|"&amp;'Plan setup'!$B$4,Calc!$F$2:$F$121,0)),""))</f>
        <v/>
      </c>
    </row>
    <row r="12">
      <c r="A12">
        <f>IF('Plan setup'!$A$32="","",'Plan setup'!$A$32)</f>
        <v/>
      </c>
      <c r="B12">
        <f>IF('Plan setup'!$A$32="","",'Plan setup'!$B$32)</f>
        <v/>
      </c>
      <c r="C12" s="17">
        <f>IF($A12="","",IFERROR(INDEX(Calc!$G$2:$G$121,MATCH($A12&amp;"|"&amp;'Plan setup'!$B$4,Calc!$F$2:$F$121,0)),""))</f>
        <v/>
      </c>
      <c r="D12" s="17">
        <f>IF($A12="","",IFERROR(INDEX(Calc!$L$2:$L$121,MATCH($A12&amp;"|"&amp;'Plan setup'!$B$4,Calc!$F$2:$F$121,0)),""))</f>
        <v/>
      </c>
      <c r="E12" s="25">
        <f>IF($A12="","",IFERROR(INDEX(Calc!$M$2:$M$121,MATCH($A12&amp;"|"&amp;'Plan setup'!$B$4,Calc!$F$2:$F$121,0)),""))</f>
        <v/>
      </c>
      <c r="F12">
        <f>IF($A12="","",IFERROR(INDEX(Calc!$W$2:$W$121,MATCH($A12&amp;"|"&amp;'Plan setup'!$B$4,Calc!$F$2:$F$121,0)),""))</f>
        <v/>
      </c>
      <c r="G12" s="17">
        <f>IF($A12="","",IFERROR(INDEX(Calc!$R$2:$R$121,MATCH($A12&amp;"|"&amp;'Plan setup'!$B$4,Calc!$F$2:$F$121,0)),""))</f>
        <v/>
      </c>
      <c r="H12" s="17">
        <f>IF($A12="","",IFERROR(INDEX(Calc!$U$2:$U$121,MATCH($A12&amp;"|"&amp;'Plan setup'!$B$4,Calc!$F$2:$F$121,0)),""))</f>
        <v/>
      </c>
      <c r="I12" s="17">
        <f>IF($A12="","",IFERROR(INDEX(Calc!$V$2:$V$121,MATCH($A12&amp;"|"&amp;'Plan setup'!$B$4,Calc!$F$2:$F$121,0)),""))</f>
        <v/>
      </c>
      <c r="J12" s="17">
        <f>IF($A12="","",IFERROR(INDEX(Calc!$T$2:$T$121,MATCH($A12&amp;"|"&amp;'Plan setup'!$B$4,Calc!$F$2:$F$121,0)),""))</f>
        <v/>
      </c>
      <c r="K12" s="16">
        <f>IF($A12="","",IFERROR(INDEX(Calc!$X$2:$X$121,MATCH($A12&amp;"|"&amp;'Plan setup'!$B$4,Calc!$F$2:$F$121,0)),""))</f>
        <v/>
      </c>
    </row>
    <row r="13">
      <c r="A13">
        <f>IF('Plan setup'!$A$33="","",'Plan setup'!$A$33)</f>
        <v/>
      </c>
      <c r="B13">
        <f>IF('Plan setup'!$A$33="","",'Plan setup'!$B$33)</f>
        <v/>
      </c>
      <c r="C13" s="17">
        <f>IF($A13="","",IFERROR(INDEX(Calc!$G$2:$G$121,MATCH($A13&amp;"|"&amp;'Plan setup'!$B$4,Calc!$F$2:$F$121,0)),""))</f>
        <v/>
      </c>
      <c r="D13" s="17">
        <f>IF($A13="","",IFERROR(INDEX(Calc!$L$2:$L$121,MATCH($A13&amp;"|"&amp;'Plan setup'!$B$4,Calc!$F$2:$F$121,0)),""))</f>
        <v/>
      </c>
      <c r="E13" s="25">
        <f>IF($A13="","",IFERROR(INDEX(Calc!$M$2:$M$121,MATCH($A13&amp;"|"&amp;'Plan setup'!$B$4,Calc!$F$2:$F$121,0)),""))</f>
        <v/>
      </c>
      <c r="F13">
        <f>IF($A13="","",IFERROR(INDEX(Calc!$W$2:$W$121,MATCH($A13&amp;"|"&amp;'Plan setup'!$B$4,Calc!$F$2:$F$121,0)),""))</f>
        <v/>
      </c>
      <c r="G13" s="17">
        <f>IF($A13="","",IFERROR(INDEX(Calc!$R$2:$R$121,MATCH($A13&amp;"|"&amp;'Plan setup'!$B$4,Calc!$F$2:$F$121,0)),""))</f>
        <v/>
      </c>
      <c r="H13" s="17">
        <f>IF($A13="","",IFERROR(INDEX(Calc!$U$2:$U$121,MATCH($A13&amp;"|"&amp;'Plan setup'!$B$4,Calc!$F$2:$F$121,0)),""))</f>
        <v/>
      </c>
      <c r="I13" s="17">
        <f>IF($A13="","",IFERROR(INDEX(Calc!$V$2:$V$121,MATCH($A13&amp;"|"&amp;'Plan setup'!$B$4,Calc!$F$2:$F$121,0)),""))</f>
        <v/>
      </c>
      <c r="J13" s="17">
        <f>IF($A13="","",IFERROR(INDEX(Calc!$T$2:$T$121,MATCH($A13&amp;"|"&amp;'Plan setup'!$B$4,Calc!$F$2:$F$121,0)),""))</f>
        <v/>
      </c>
      <c r="K13" s="16">
        <f>IF($A13="","",IFERROR(INDEX(Calc!$X$2:$X$121,MATCH($A13&amp;"|"&amp;'Plan setup'!$B$4,Calc!$F$2:$F$121,0)),""))</f>
        <v/>
      </c>
    </row>
    <row r="14">
      <c r="A14">
        <f>IF('Plan setup'!$A$34="","",'Plan setup'!$A$34)</f>
        <v/>
      </c>
      <c r="B14">
        <f>IF('Plan setup'!$A$34="","",'Plan setup'!$B$34)</f>
        <v/>
      </c>
      <c r="C14" s="17">
        <f>IF($A14="","",IFERROR(INDEX(Calc!$G$2:$G$121,MATCH($A14&amp;"|"&amp;'Plan setup'!$B$4,Calc!$F$2:$F$121,0)),""))</f>
        <v/>
      </c>
      <c r="D14" s="17">
        <f>IF($A14="","",IFERROR(INDEX(Calc!$L$2:$L$121,MATCH($A14&amp;"|"&amp;'Plan setup'!$B$4,Calc!$F$2:$F$121,0)),""))</f>
        <v/>
      </c>
      <c r="E14" s="25">
        <f>IF($A14="","",IFERROR(INDEX(Calc!$M$2:$M$121,MATCH($A14&amp;"|"&amp;'Plan setup'!$B$4,Calc!$F$2:$F$121,0)),""))</f>
        <v/>
      </c>
      <c r="F14">
        <f>IF($A14="","",IFERROR(INDEX(Calc!$W$2:$W$121,MATCH($A14&amp;"|"&amp;'Plan setup'!$B$4,Calc!$F$2:$F$121,0)),""))</f>
        <v/>
      </c>
      <c r="G14" s="17">
        <f>IF($A14="","",IFERROR(INDEX(Calc!$R$2:$R$121,MATCH($A14&amp;"|"&amp;'Plan setup'!$B$4,Calc!$F$2:$F$121,0)),""))</f>
        <v/>
      </c>
      <c r="H14" s="17">
        <f>IF($A14="","",IFERROR(INDEX(Calc!$U$2:$U$121,MATCH($A14&amp;"|"&amp;'Plan setup'!$B$4,Calc!$F$2:$F$121,0)),""))</f>
        <v/>
      </c>
      <c r="I14" s="17">
        <f>IF($A14="","",IFERROR(INDEX(Calc!$V$2:$V$121,MATCH($A14&amp;"|"&amp;'Plan setup'!$B$4,Calc!$F$2:$F$121,0)),""))</f>
        <v/>
      </c>
      <c r="J14" s="17">
        <f>IF($A14="","",IFERROR(INDEX(Calc!$T$2:$T$121,MATCH($A14&amp;"|"&amp;'Plan setup'!$B$4,Calc!$F$2:$F$121,0)),""))</f>
        <v/>
      </c>
      <c r="K14" s="16">
        <f>IF($A14="","",IFERROR(INDEX(Calc!$X$2:$X$121,MATCH($A14&amp;"|"&amp;'Plan setup'!$B$4,Calc!$F$2:$F$121,0)),""))</f>
        <v/>
      </c>
    </row>
    <row r="15">
      <c r="A15" s="32" t="inlineStr">
        <is>
          <t>Team total</t>
        </is>
      </c>
      <c r="B15" s="33" t="n"/>
      <c r="C15" s="34">
        <f>SUM(C5:C14)</f>
        <v/>
      </c>
      <c r="D15" s="34">
        <f>SUM(D5:D14)</f>
        <v/>
      </c>
      <c r="E15" s="35">
        <f>IF(N(C15)&gt;0,D15/C15,0)</f>
        <v/>
      </c>
      <c r="F15" s="33" t="n"/>
      <c r="G15" s="34">
        <f>SUM(G5:G14)</f>
        <v/>
      </c>
      <c r="H15" s="34">
        <f>SUM(H5:H14)</f>
        <v/>
      </c>
      <c r="I15" s="34">
        <f>SUM(I5:I14)</f>
        <v/>
      </c>
      <c r="J15" s="34">
        <f>SUM(J5:J14)</f>
        <v/>
      </c>
      <c r="K15" s="36">
        <f>IF(N(D15)&gt;0,G15/D15,0)</f>
        <v/>
      </c>
    </row>
    <row r="18">
      <c r="A18" s="7" t="inlineStr">
        <is>
          <t>Payable by month (what payroll pays each month)</t>
        </is>
      </c>
    </row>
    <row r="19">
      <c r="A19" s="11" t="inlineStr">
        <is>
          <t>Rep</t>
        </is>
      </c>
      <c r="B19" s="11">
        <f>TEXT(EDATE('Plan setup'!$B$3,0),"mmm")</f>
        <v/>
      </c>
      <c r="C19" s="11">
        <f>TEXT(EDATE('Plan setup'!$B$3,1),"mmm")</f>
        <v/>
      </c>
      <c r="D19" s="11">
        <f>TEXT(EDATE('Plan setup'!$B$3,2),"mmm")</f>
        <v/>
      </c>
      <c r="E19" s="11">
        <f>TEXT(EDATE('Plan setup'!$B$3,3),"mmm")</f>
        <v/>
      </c>
      <c r="F19" s="11">
        <f>TEXT(EDATE('Plan setup'!$B$3,4),"mmm")</f>
        <v/>
      </c>
      <c r="G19" s="11">
        <f>TEXT(EDATE('Plan setup'!$B$3,5),"mmm")</f>
        <v/>
      </c>
      <c r="H19" s="11">
        <f>TEXT(EDATE('Plan setup'!$B$3,6),"mmm")</f>
        <v/>
      </c>
      <c r="I19" s="11">
        <f>TEXT(EDATE('Plan setup'!$B$3,7),"mmm")</f>
        <v/>
      </c>
      <c r="J19" s="11">
        <f>TEXT(EDATE('Plan setup'!$B$3,8),"mmm")</f>
        <v/>
      </c>
      <c r="K19" s="11">
        <f>TEXT(EDATE('Plan setup'!$B$3,9),"mmm")</f>
        <v/>
      </c>
      <c r="L19" s="11">
        <f>TEXT(EDATE('Plan setup'!$B$3,10),"mmm")</f>
        <v/>
      </c>
      <c r="M19" s="11">
        <f>TEXT(EDATE('Plan setup'!$B$3,11),"mmm")</f>
        <v/>
      </c>
      <c r="N19" s="11" t="inlineStr">
        <is>
          <t>Total</t>
        </is>
      </c>
    </row>
    <row r="20">
      <c r="A20">
        <f>A5</f>
        <v/>
      </c>
      <c r="B20" s="17">
        <f>IF($A20="","",IFERROR(INDEX(Calc!$T$2:$T$121,MATCH($A20&amp;"|"&amp;1,Calc!$F$2:$F$121,0)),""))</f>
        <v/>
      </c>
      <c r="C20" s="17">
        <f>IF($A20="","",IFERROR(INDEX(Calc!$T$2:$T$121,MATCH($A20&amp;"|"&amp;2,Calc!$F$2:$F$121,0)),""))</f>
        <v/>
      </c>
      <c r="D20" s="17">
        <f>IF($A20="","",IFERROR(INDEX(Calc!$T$2:$T$121,MATCH($A20&amp;"|"&amp;3,Calc!$F$2:$F$121,0)),""))</f>
        <v/>
      </c>
      <c r="E20" s="17">
        <f>IF($A20="","",IFERROR(INDEX(Calc!$T$2:$T$121,MATCH($A20&amp;"|"&amp;4,Calc!$F$2:$F$121,0)),""))</f>
        <v/>
      </c>
      <c r="F20" s="17">
        <f>IF($A20="","",IFERROR(INDEX(Calc!$T$2:$T$121,MATCH($A20&amp;"|"&amp;5,Calc!$F$2:$F$121,0)),""))</f>
        <v/>
      </c>
      <c r="G20" s="17">
        <f>IF($A20="","",IFERROR(INDEX(Calc!$T$2:$T$121,MATCH($A20&amp;"|"&amp;6,Calc!$F$2:$F$121,0)),""))</f>
        <v/>
      </c>
      <c r="H20" s="17">
        <f>IF($A20="","",IFERROR(INDEX(Calc!$T$2:$T$121,MATCH($A20&amp;"|"&amp;7,Calc!$F$2:$F$121,0)),""))</f>
        <v/>
      </c>
      <c r="I20" s="17">
        <f>IF($A20="","",IFERROR(INDEX(Calc!$T$2:$T$121,MATCH($A20&amp;"|"&amp;8,Calc!$F$2:$F$121,0)),""))</f>
        <v/>
      </c>
      <c r="J20" s="17">
        <f>IF($A20="","",IFERROR(INDEX(Calc!$T$2:$T$121,MATCH($A20&amp;"|"&amp;9,Calc!$F$2:$F$121,0)),""))</f>
        <v/>
      </c>
      <c r="K20" s="17">
        <f>IF($A20="","",IFERROR(INDEX(Calc!$T$2:$T$121,MATCH($A20&amp;"|"&amp;10,Calc!$F$2:$F$121,0)),""))</f>
        <v/>
      </c>
      <c r="L20" s="17">
        <f>IF($A20="","",IFERROR(INDEX(Calc!$T$2:$T$121,MATCH($A20&amp;"|"&amp;11,Calc!$F$2:$F$121,0)),""))</f>
        <v/>
      </c>
      <c r="M20" s="17">
        <f>IF($A20="","",IFERROR(INDEX(Calc!$T$2:$T$121,MATCH($A20&amp;"|"&amp;12,Calc!$F$2:$F$121,0)),""))</f>
        <v/>
      </c>
      <c r="N20" s="17">
        <f>IF($A20="","",SUM(B20:M20))</f>
        <v/>
      </c>
    </row>
    <row r="21">
      <c r="A21">
        <f>A6</f>
        <v/>
      </c>
      <c r="B21" s="17">
        <f>IF($A21="","",IFERROR(INDEX(Calc!$T$2:$T$121,MATCH($A21&amp;"|"&amp;1,Calc!$F$2:$F$121,0)),""))</f>
        <v/>
      </c>
      <c r="C21" s="17">
        <f>IF($A21="","",IFERROR(INDEX(Calc!$T$2:$T$121,MATCH($A21&amp;"|"&amp;2,Calc!$F$2:$F$121,0)),""))</f>
        <v/>
      </c>
      <c r="D21" s="17">
        <f>IF($A21="","",IFERROR(INDEX(Calc!$T$2:$T$121,MATCH($A21&amp;"|"&amp;3,Calc!$F$2:$F$121,0)),""))</f>
        <v/>
      </c>
      <c r="E21" s="17">
        <f>IF($A21="","",IFERROR(INDEX(Calc!$T$2:$T$121,MATCH($A21&amp;"|"&amp;4,Calc!$F$2:$F$121,0)),""))</f>
        <v/>
      </c>
      <c r="F21" s="17">
        <f>IF($A21="","",IFERROR(INDEX(Calc!$T$2:$T$121,MATCH($A21&amp;"|"&amp;5,Calc!$F$2:$F$121,0)),""))</f>
        <v/>
      </c>
      <c r="G21" s="17">
        <f>IF($A21="","",IFERROR(INDEX(Calc!$T$2:$T$121,MATCH($A21&amp;"|"&amp;6,Calc!$F$2:$F$121,0)),""))</f>
        <v/>
      </c>
      <c r="H21" s="17">
        <f>IF($A21="","",IFERROR(INDEX(Calc!$T$2:$T$121,MATCH($A21&amp;"|"&amp;7,Calc!$F$2:$F$121,0)),""))</f>
        <v/>
      </c>
      <c r="I21" s="17">
        <f>IF($A21="","",IFERROR(INDEX(Calc!$T$2:$T$121,MATCH($A21&amp;"|"&amp;8,Calc!$F$2:$F$121,0)),""))</f>
        <v/>
      </c>
      <c r="J21" s="17">
        <f>IF($A21="","",IFERROR(INDEX(Calc!$T$2:$T$121,MATCH($A21&amp;"|"&amp;9,Calc!$F$2:$F$121,0)),""))</f>
        <v/>
      </c>
      <c r="K21" s="17">
        <f>IF($A21="","",IFERROR(INDEX(Calc!$T$2:$T$121,MATCH($A21&amp;"|"&amp;10,Calc!$F$2:$F$121,0)),""))</f>
        <v/>
      </c>
      <c r="L21" s="17">
        <f>IF($A21="","",IFERROR(INDEX(Calc!$T$2:$T$121,MATCH($A21&amp;"|"&amp;11,Calc!$F$2:$F$121,0)),""))</f>
        <v/>
      </c>
      <c r="M21" s="17">
        <f>IF($A21="","",IFERROR(INDEX(Calc!$T$2:$T$121,MATCH($A21&amp;"|"&amp;12,Calc!$F$2:$F$121,0)),""))</f>
        <v/>
      </c>
      <c r="N21" s="17">
        <f>IF($A21="","",SUM(B21:M21))</f>
        <v/>
      </c>
    </row>
    <row r="22">
      <c r="A22">
        <f>A7</f>
        <v/>
      </c>
      <c r="B22" s="17">
        <f>IF($A22="","",IFERROR(INDEX(Calc!$T$2:$T$121,MATCH($A22&amp;"|"&amp;1,Calc!$F$2:$F$121,0)),""))</f>
        <v/>
      </c>
      <c r="C22" s="17">
        <f>IF($A22="","",IFERROR(INDEX(Calc!$T$2:$T$121,MATCH($A22&amp;"|"&amp;2,Calc!$F$2:$F$121,0)),""))</f>
        <v/>
      </c>
      <c r="D22" s="17">
        <f>IF($A22="","",IFERROR(INDEX(Calc!$T$2:$T$121,MATCH($A22&amp;"|"&amp;3,Calc!$F$2:$F$121,0)),""))</f>
        <v/>
      </c>
      <c r="E22" s="17">
        <f>IF($A22="","",IFERROR(INDEX(Calc!$T$2:$T$121,MATCH($A22&amp;"|"&amp;4,Calc!$F$2:$F$121,0)),""))</f>
        <v/>
      </c>
      <c r="F22" s="17">
        <f>IF($A22="","",IFERROR(INDEX(Calc!$T$2:$T$121,MATCH($A22&amp;"|"&amp;5,Calc!$F$2:$F$121,0)),""))</f>
        <v/>
      </c>
      <c r="G22" s="17">
        <f>IF($A22="","",IFERROR(INDEX(Calc!$T$2:$T$121,MATCH($A22&amp;"|"&amp;6,Calc!$F$2:$F$121,0)),""))</f>
        <v/>
      </c>
      <c r="H22" s="17">
        <f>IF($A22="","",IFERROR(INDEX(Calc!$T$2:$T$121,MATCH($A22&amp;"|"&amp;7,Calc!$F$2:$F$121,0)),""))</f>
        <v/>
      </c>
      <c r="I22" s="17">
        <f>IF($A22="","",IFERROR(INDEX(Calc!$T$2:$T$121,MATCH($A22&amp;"|"&amp;8,Calc!$F$2:$F$121,0)),""))</f>
        <v/>
      </c>
      <c r="J22" s="17">
        <f>IF($A22="","",IFERROR(INDEX(Calc!$T$2:$T$121,MATCH($A22&amp;"|"&amp;9,Calc!$F$2:$F$121,0)),""))</f>
        <v/>
      </c>
      <c r="K22" s="17">
        <f>IF($A22="","",IFERROR(INDEX(Calc!$T$2:$T$121,MATCH($A22&amp;"|"&amp;10,Calc!$F$2:$F$121,0)),""))</f>
        <v/>
      </c>
      <c r="L22" s="17">
        <f>IF($A22="","",IFERROR(INDEX(Calc!$T$2:$T$121,MATCH($A22&amp;"|"&amp;11,Calc!$F$2:$F$121,0)),""))</f>
        <v/>
      </c>
      <c r="M22" s="17">
        <f>IF($A22="","",IFERROR(INDEX(Calc!$T$2:$T$121,MATCH($A22&amp;"|"&amp;12,Calc!$F$2:$F$121,0)),""))</f>
        <v/>
      </c>
      <c r="N22" s="17">
        <f>IF($A22="","",SUM(B22:M22))</f>
        <v/>
      </c>
    </row>
    <row r="23">
      <c r="A23">
        <f>A8</f>
        <v/>
      </c>
      <c r="B23" s="17">
        <f>IF($A23="","",IFERROR(INDEX(Calc!$T$2:$T$121,MATCH($A23&amp;"|"&amp;1,Calc!$F$2:$F$121,0)),""))</f>
        <v/>
      </c>
      <c r="C23" s="17">
        <f>IF($A23="","",IFERROR(INDEX(Calc!$T$2:$T$121,MATCH($A23&amp;"|"&amp;2,Calc!$F$2:$F$121,0)),""))</f>
        <v/>
      </c>
      <c r="D23" s="17">
        <f>IF($A23="","",IFERROR(INDEX(Calc!$T$2:$T$121,MATCH($A23&amp;"|"&amp;3,Calc!$F$2:$F$121,0)),""))</f>
        <v/>
      </c>
      <c r="E23" s="17">
        <f>IF($A23="","",IFERROR(INDEX(Calc!$T$2:$T$121,MATCH($A23&amp;"|"&amp;4,Calc!$F$2:$F$121,0)),""))</f>
        <v/>
      </c>
      <c r="F23" s="17">
        <f>IF($A23="","",IFERROR(INDEX(Calc!$T$2:$T$121,MATCH($A23&amp;"|"&amp;5,Calc!$F$2:$F$121,0)),""))</f>
        <v/>
      </c>
      <c r="G23" s="17">
        <f>IF($A23="","",IFERROR(INDEX(Calc!$T$2:$T$121,MATCH($A23&amp;"|"&amp;6,Calc!$F$2:$F$121,0)),""))</f>
        <v/>
      </c>
      <c r="H23" s="17">
        <f>IF($A23="","",IFERROR(INDEX(Calc!$T$2:$T$121,MATCH($A23&amp;"|"&amp;7,Calc!$F$2:$F$121,0)),""))</f>
        <v/>
      </c>
      <c r="I23" s="17">
        <f>IF($A23="","",IFERROR(INDEX(Calc!$T$2:$T$121,MATCH($A23&amp;"|"&amp;8,Calc!$F$2:$F$121,0)),""))</f>
        <v/>
      </c>
      <c r="J23" s="17">
        <f>IF($A23="","",IFERROR(INDEX(Calc!$T$2:$T$121,MATCH($A23&amp;"|"&amp;9,Calc!$F$2:$F$121,0)),""))</f>
        <v/>
      </c>
      <c r="K23" s="17">
        <f>IF($A23="","",IFERROR(INDEX(Calc!$T$2:$T$121,MATCH($A23&amp;"|"&amp;10,Calc!$F$2:$F$121,0)),""))</f>
        <v/>
      </c>
      <c r="L23" s="17">
        <f>IF($A23="","",IFERROR(INDEX(Calc!$T$2:$T$121,MATCH($A23&amp;"|"&amp;11,Calc!$F$2:$F$121,0)),""))</f>
        <v/>
      </c>
      <c r="M23" s="17">
        <f>IF($A23="","",IFERROR(INDEX(Calc!$T$2:$T$121,MATCH($A23&amp;"|"&amp;12,Calc!$F$2:$F$121,0)),""))</f>
        <v/>
      </c>
      <c r="N23" s="17">
        <f>IF($A23="","",SUM(B23:M23))</f>
        <v/>
      </c>
    </row>
    <row r="24">
      <c r="A24">
        <f>A9</f>
        <v/>
      </c>
      <c r="B24" s="17">
        <f>IF($A24="","",IFERROR(INDEX(Calc!$T$2:$T$121,MATCH($A24&amp;"|"&amp;1,Calc!$F$2:$F$121,0)),""))</f>
        <v/>
      </c>
      <c r="C24" s="17">
        <f>IF($A24="","",IFERROR(INDEX(Calc!$T$2:$T$121,MATCH($A24&amp;"|"&amp;2,Calc!$F$2:$F$121,0)),""))</f>
        <v/>
      </c>
      <c r="D24" s="17">
        <f>IF($A24="","",IFERROR(INDEX(Calc!$T$2:$T$121,MATCH($A24&amp;"|"&amp;3,Calc!$F$2:$F$121,0)),""))</f>
        <v/>
      </c>
      <c r="E24" s="17">
        <f>IF($A24="","",IFERROR(INDEX(Calc!$T$2:$T$121,MATCH($A24&amp;"|"&amp;4,Calc!$F$2:$F$121,0)),""))</f>
        <v/>
      </c>
      <c r="F24" s="17">
        <f>IF($A24="","",IFERROR(INDEX(Calc!$T$2:$T$121,MATCH($A24&amp;"|"&amp;5,Calc!$F$2:$F$121,0)),""))</f>
        <v/>
      </c>
      <c r="G24" s="17">
        <f>IF($A24="","",IFERROR(INDEX(Calc!$T$2:$T$121,MATCH($A24&amp;"|"&amp;6,Calc!$F$2:$F$121,0)),""))</f>
        <v/>
      </c>
      <c r="H24" s="17">
        <f>IF($A24="","",IFERROR(INDEX(Calc!$T$2:$T$121,MATCH($A24&amp;"|"&amp;7,Calc!$F$2:$F$121,0)),""))</f>
        <v/>
      </c>
      <c r="I24" s="17">
        <f>IF($A24="","",IFERROR(INDEX(Calc!$T$2:$T$121,MATCH($A24&amp;"|"&amp;8,Calc!$F$2:$F$121,0)),""))</f>
        <v/>
      </c>
      <c r="J24" s="17">
        <f>IF($A24="","",IFERROR(INDEX(Calc!$T$2:$T$121,MATCH($A24&amp;"|"&amp;9,Calc!$F$2:$F$121,0)),""))</f>
        <v/>
      </c>
      <c r="K24" s="17">
        <f>IF($A24="","",IFERROR(INDEX(Calc!$T$2:$T$121,MATCH($A24&amp;"|"&amp;10,Calc!$F$2:$F$121,0)),""))</f>
        <v/>
      </c>
      <c r="L24" s="17">
        <f>IF($A24="","",IFERROR(INDEX(Calc!$T$2:$T$121,MATCH($A24&amp;"|"&amp;11,Calc!$F$2:$F$121,0)),""))</f>
        <v/>
      </c>
      <c r="M24" s="17">
        <f>IF($A24="","",IFERROR(INDEX(Calc!$T$2:$T$121,MATCH($A24&amp;"|"&amp;12,Calc!$F$2:$F$121,0)),""))</f>
        <v/>
      </c>
      <c r="N24" s="17">
        <f>IF($A24="","",SUM(B24:M24))</f>
        <v/>
      </c>
    </row>
    <row r="25">
      <c r="A25">
        <f>A10</f>
        <v/>
      </c>
      <c r="B25" s="17">
        <f>IF($A25="","",IFERROR(INDEX(Calc!$T$2:$T$121,MATCH($A25&amp;"|"&amp;1,Calc!$F$2:$F$121,0)),""))</f>
        <v/>
      </c>
      <c r="C25" s="17">
        <f>IF($A25="","",IFERROR(INDEX(Calc!$T$2:$T$121,MATCH($A25&amp;"|"&amp;2,Calc!$F$2:$F$121,0)),""))</f>
        <v/>
      </c>
      <c r="D25" s="17">
        <f>IF($A25="","",IFERROR(INDEX(Calc!$T$2:$T$121,MATCH($A25&amp;"|"&amp;3,Calc!$F$2:$F$121,0)),""))</f>
        <v/>
      </c>
      <c r="E25" s="17">
        <f>IF($A25="","",IFERROR(INDEX(Calc!$T$2:$T$121,MATCH($A25&amp;"|"&amp;4,Calc!$F$2:$F$121,0)),""))</f>
        <v/>
      </c>
      <c r="F25" s="17">
        <f>IF($A25="","",IFERROR(INDEX(Calc!$T$2:$T$121,MATCH($A25&amp;"|"&amp;5,Calc!$F$2:$F$121,0)),""))</f>
        <v/>
      </c>
      <c r="G25" s="17">
        <f>IF($A25="","",IFERROR(INDEX(Calc!$T$2:$T$121,MATCH($A25&amp;"|"&amp;6,Calc!$F$2:$F$121,0)),""))</f>
        <v/>
      </c>
      <c r="H25" s="17">
        <f>IF($A25="","",IFERROR(INDEX(Calc!$T$2:$T$121,MATCH($A25&amp;"|"&amp;7,Calc!$F$2:$F$121,0)),""))</f>
        <v/>
      </c>
      <c r="I25" s="17">
        <f>IF($A25="","",IFERROR(INDEX(Calc!$T$2:$T$121,MATCH($A25&amp;"|"&amp;8,Calc!$F$2:$F$121,0)),""))</f>
        <v/>
      </c>
      <c r="J25" s="17">
        <f>IF($A25="","",IFERROR(INDEX(Calc!$T$2:$T$121,MATCH($A25&amp;"|"&amp;9,Calc!$F$2:$F$121,0)),""))</f>
        <v/>
      </c>
      <c r="K25" s="17">
        <f>IF($A25="","",IFERROR(INDEX(Calc!$T$2:$T$121,MATCH($A25&amp;"|"&amp;10,Calc!$F$2:$F$121,0)),""))</f>
        <v/>
      </c>
      <c r="L25" s="17">
        <f>IF($A25="","",IFERROR(INDEX(Calc!$T$2:$T$121,MATCH($A25&amp;"|"&amp;11,Calc!$F$2:$F$121,0)),""))</f>
        <v/>
      </c>
      <c r="M25" s="17">
        <f>IF($A25="","",IFERROR(INDEX(Calc!$T$2:$T$121,MATCH($A25&amp;"|"&amp;12,Calc!$F$2:$F$121,0)),""))</f>
        <v/>
      </c>
      <c r="N25" s="17">
        <f>IF($A25="","",SUM(B25:M25))</f>
        <v/>
      </c>
    </row>
    <row r="26">
      <c r="A26">
        <f>A11</f>
        <v/>
      </c>
      <c r="B26" s="17">
        <f>IF($A26="","",IFERROR(INDEX(Calc!$T$2:$T$121,MATCH($A26&amp;"|"&amp;1,Calc!$F$2:$F$121,0)),""))</f>
        <v/>
      </c>
      <c r="C26" s="17">
        <f>IF($A26="","",IFERROR(INDEX(Calc!$T$2:$T$121,MATCH($A26&amp;"|"&amp;2,Calc!$F$2:$F$121,0)),""))</f>
        <v/>
      </c>
      <c r="D26" s="17">
        <f>IF($A26="","",IFERROR(INDEX(Calc!$T$2:$T$121,MATCH($A26&amp;"|"&amp;3,Calc!$F$2:$F$121,0)),""))</f>
        <v/>
      </c>
      <c r="E26" s="17">
        <f>IF($A26="","",IFERROR(INDEX(Calc!$T$2:$T$121,MATCH($A26&amp;"|"&amp;4,Calc!$F$2:$F$121,0)),""))</f>
        <v/>
      </c>
      <c r="F26" s="17">
        <f>IF($A26="","",IFERROR(INDEX(Calc!$T$2:$T$121,MATCH($A26&amp;"|"&amp;5,Calc!$F$2:$F$121,0)),""))</f>
        <v/>
      </c>
      <c r="G26" s="17">
        <f>IF($A26="","",IFERROR(INDEX(Calc!$T$2:$T$121,MATCH($A26&amp;"|"&amp;6,Calc!$F$2:$F$121,0)),""))</f>
        <v/>
      </c>
      <c r="H26" s="17">
        <f>IF($A26="","",IFERROR(INDEX(Calc!$T$2:$T$121,MATCH($A26&amp;"|"&amp;7,Calc!$F$2:$F$121,0)),""))</f>
        <v/>
      </c>
      <c r="I26" s="17">
        <f>IF($A26="","",IFERROR(INDEX(Calc!$T$2:$T$121,MATCH($A26&amp;"|"&amp;8,Calc!$F$2:$F$121,0)),""))</f>
        <v/>
      </c>
      <c r="J26" s="17">
        <f>IF($A26="","",IFERROR(INDEX(Calc!$T$2:$T$121,MATCH($A26&amp;"|"&amp;9,Calc!$F$2:$F$121,0)),""))</f>
        <v/>
      </c>
      <c r="K26" s="17">
        <f>IF($A26="","",IFERROR(INDEX(Calc!$T$2:$T$121,MATCH($A26&amp;"|"&amp;10,Calc!$F$2:$F$121,0)),""))</f>
        <v/>
      </c>
      <c r="L26" s="17">
        <f>IF($A26="","",IFERROR(INDEX(Calc!$T$2:$T$121,MATCH($A26&amp;"|"&amp;11,Calc!$F$2:$F$121,0)),""))</f>
        <v/>
      </c>
      <c r="M26" s="17">
        <f>IF($A26="","",IFERROR(INDEX(Calc!$T$2:$T$121,MATCH($A26&amp;"|"&amp;12,Calc!$F$2:$F$121,0)),""))</f>
        <v/>
      </c>
      <c r="N26" s="17">
        <f>IF($A26="","",SUM(B26:M26))</f>
        <v/>
      </c>
    </row>
    <row r="27">
      <c r="A27">
        <f>A12</f>
        <v/>
      </c>
      <c r="B27" s="17">
        <f>IF($A27="","",IFERROR(INDEX(Calc!$T$2:$T$121,MATCH($A27&amp;"|"&amp;1,Calc!$F$2:$F$121,0)),""))</f>
        <v/>
      </c>
      <c r="C27" s="17">
        <f>IF($A27="","",IFERROR(INDEX(Calc!$T$2:$T$121,MATCH($A27&amp;"|"&amp;2,Calc!$F$2:$F$121,0)),""))</f>
        <v/>
      </c>
      <c r="D27" s="17">
        <f>IF($A27="","",IFERROR(INDEX(Calc!$T$2:$T$121,MATCH($A27&amp;"|"&amp;3,Calc!$F$2:$F$121,0)),""))</f>
        <v/>
      </c>
      <c r="E27" s="17">
        <f>IF($A27="","",IFERROR(INDEX(Calc!$T$2:$T$121,MATCH($A27&amp;"|"&amp;4,Calc!$F$2:$F$121,0)),""))</f>
        <v/>
      </c>
      <c r="F27" s="17">
        <f>IF($A27="","",IFERROR(INDEX(Calc!$T$2:$T$121,MATCH($A27&amp;"|"&amp;5,Calc!$F$2:$F$121,0)),""))</f>
        <v/>
      </c>
      <c r="G27" s="17">
        <f>IF($A27="","",IFERROR(INDEX(Calc!$T$2:$T$121,MATCH($A27&amp;"|"&amp;6,Calc!$F$2:$F$121,0)),""))</f>
        <v/>
      </c>
      <c r="H27" s="17">
        <f>IF($A27="","",IFERROR(INDEX(Calc!$T$2:$T$121,MATCH($A27&amp;"|"&amp;7,Calc!$F$2:$F$121,0)),""))</f>
        <v/>
      </c>
      <c r="I27" s="17">
        <f>IF($A27="","",IFERROR(INDEX(Calc!$T$2:$T$121,MATCH($A27&amp;"|"&amp;8,Calc!$F$2:$F$121,0)),""))</f>
        <v/>
      </c>
      <c r="J27" s="17">
        <f>IF($A27="","",IFERROR(INDEX(Calc!$T$2:$T$121,MATCH($A27&amp;"|"&amp;9,Calc!$F$2:$F$121,0)),""))</f>
        <v/>
      </c>
      <c r="K27" s="17">
        <f>IF($A27="","",IFERROR(INDEX(Calc!$T$2:$T$121,MATCH($A27&amp;"|"&amp;10,Calc!$F$2:$F$121,0)),""))</f>
        <v/>
      </c>
      <c r="L27" s="17">
        <f>IF($A27="","",IFERROR(INDEX(Calc!$T$2:$T$121,MATCH($A27&amp;"|"&amp;11,Calc!$F$2:$F$121,0)),""))</f>
        <v/>
      </c>
      <c r="M27" s="17">
        <f>IF($A27="","",IFERROR(INDEX(Calc!$T$2:$T$121,MATCH($A27&amp;"|"&amp;12,Calc!$F$2:$F$121,0)),""))</f>
        <v/>
      </c>
      <c r="N27" s="17">
        <f>IF($A27="","",SUM(B27:M27))</f>
        <v/>
      </c>
    </row>
    <row r="28">
      <c r="A28">
        <f>A13</f>
        <v/>
      </c>
      <c r="B28" s="17">
        <f>IF($A28="","",IFERROR(INDEX(Calc!$T$2:$T$121,MATCH($A28&amp;"|"&amp;1,Calc!$F$2:$F$121,0)),""))</f>
        <v/>
      </c>
      <c r="C28" s="17">
        <f>IF($A28="","",IFERROR(INDEX(Calc!$T$2:$T$121,MATCH($A28&amp;"|"&amp;2,Calc!$F$2:$F$121,0)),""))</f>
        <v/>
      </c>
      <c r="D28" s="17">
        <f>IF($A28="","",IFERROR(INDEX(Calc!$T$2:$T$121,MATCH($A28&amp;"|"&amp;3,Calc!$F$2:$F$121,0)),""))</f>
        <v/>
      </c>
      <c r="E28" s="17">
        <f>IF($A28="","",IFERROR(INDEX(Calc!$T$2:$T$121,MATCH($A28&amp;"|"&amp;4,Calc!$F$2:$F$121,0)),""))</f>
        <v/>
      </c>
      <c r="F28" s="17">
        <f>IF($A28="","",IFERROR(INDEX(Calc!$T$2:$T$121,MATCH($A28&amp;"|"&amp;5,Calc!$F$2:$F$121,0)),""))</f>
        <v/>
      </c>
      <c r="G28" s="17">
        <f>IF($A28="","",IFERROR(INDEX(Calc!$T$2:$T$121,MATCH($A28&amp;"|"&amp;6,Calc!$F$2:$F$121,0)),""))</f>
        <v/>
      </c>
      <c r="H28" s="17">
        <f>IF($A28="","",IFERROR(INDEX(Calc!$T$2:$T$121,MATCH($A28&amp;"|"&amp;7,Calc!$F$2:$F$121,0)),""))</f>
        <v/>
      </c>
      <c r="I28" s="17">
        <f>IF($A28="","",IFERROR(INDEX(Calc!$T$2:$T$121,MATCH($A28&amp;"|"&amp;8,Calc!$F$2:$F$121,0)),""))</f>
        <v/>
      </c>
      <c r="J28" s="17">
        <f>IF($A28="","",IFERROR(INDEX(Calc!$T$2:$T$121,MATCH($A28&amp;"|"&amp;9,Calc!$F$2:$F$121,0)),""))</f>
        <v/>
      </c>
      <c r="K28" s="17">
        <f>IF($A28="","",IFERROR(INDEX(Calc!$T$2:$T$121,MATCH($A28&amp;"|"&amp;10,Calc!$F$2:$F$121,0)),""))</f>
        <v/>
      </c>
      <c r="L28" s="17">
        <f>IF($A28="","",IFERROR(INDEX(Calc!$T$2:$T$121,MATCH($A28&amp;"|"&amp;11,Calc!$F$2:$F$121,0)),""))</f>
        <v/>
      </c>
      <c r="M28" s="17">
        <f>IF($A28="","",IFERROR(INDEX(Calc!$T$2:$T$121,MATCH($A28&amp;"|"&amp;12,Calc!$F$2:$F$121,0)),""))</f>
        <v/>
      </c>
      <c r="N28" s="17">
        <f>IF($A28="","",SUM(B28:M28))</f>
        <v/>
      </c>
    </row>
    <row r="29">
      <c r="A29">
        <f>A14</f>
        <v/>
      </c>
      <c r="B29" s="17">
        <f>IF($A29="","",IFERROR(INDEX(Calc!$T$2:$T$121,MATCH($A29&amp;"|"&amp;1,Calc!$F$2:$F$121,0)),""))</f>
        <v/>
      </c>
      <c r="C29" s="17">
        <f>IF($A29="","",IFERROR(INDEX(Calc!$T$2:$T$121,MATCH($A29&amp;"|"&amp;2,Calc!$F$2:$F$121,0)),""))</f>
        <v/>
      </c>
      <c r="D29" s="17">
        <f>IF($A29="","",IFERROR(INDEX(Calc!$T$2:$T$121,MATCH($A29&amp;"|"&amp;3,Calc!$F$2:$F$121,0)),""))</f>
        <v/>
      </c>
      <c r="E29" s="17">
        <f>IF($A29="","",IFERROR(INDEX(Calc!$T$2:$T$121,MATCH($A29&amp;"|"&amp;4,Calc!$F$2:$F$121,0)),""))</f>
        <v/>
      </c>
      <c r="F29" s="17">
        <f>IF($A29="","",IFERROR(INDEX(Calc!$T$2:$T$121,MATCH($A29&amp;"|"&amp;5,Calc!$F$2:$F$121,0)),""))</f>
        <v/>
      </c>
      <c r="G29" s="17">
        <f>IF($A29="","",IFERROR(INDEX(Calc!$T$2:$T$121,MATCH($A29&amp;"|"&amp;6,Calc!$F$2:$F$121,0)),""))</f>
        <v/>
      </c>
      <c r="H29" s="17">
        <f>IF($A29="","",IFERROR(INDEX(Calc!$T$2:$T$121,MATCH($A29&amp;"|"&amp;7,Calc!$F$2:$F$121,0)),""))</f>
        <v/>
      </c>
      <c r="I29" s="17">
        <f>IF($A29="","",IFERROR(INDEX(Calc!$T$2:$T$121,MATCH($A29&amp;"|"&amp;8,Calc!$F$2:$F$121,0)),""))</f>
        <v/>
      </c>
      <c r="J29" s="17">
        <f>IF($A29="","",IFERROR(INDEX(Calc!$T$2:$T$121,MATCH($A29&amp;"|"&amp;9,Calc!$F$2:$F$121,0)),""))</f>
        <v/>
      </c>
      <c r="K29" s="17">
        <f>IF($A29="","",IFERROR(INDEX(Calc!$T$2:$T$121,MATCH($A29&amp;"|"&amp;10,Calc!$F$2:$F$121,0)),""))</f>
        <v/>
      </c>
      <c r="L29" s="17">
        <f>IF($A29="","",IFERROR(INDEX(Calc!$T$2:$T$121,MATCH($A29&amp;"|"&amp;11,Calc!$F$2:$F$121,0)),""))</f>
        <v/>
      </c>
      <c r="M29" s="17">
        <f>IF($A29="","",IFERROR(INDEX(Calc!$T$2:$T$121,MATCH($A29&amp;"|"&amp;12,Calc!$F$2:$F$121,0)),""))</f>
        <v/>
      </c>
      <c r="N29" s="17">
        <f>IF($A29="","",SUM(B29:M29))</f>
        <v/>
      </c>
    </row>
    <row r="30">
      <c r="A30" s="32" t="inlineStr">
        <is>
          <t>Team total</t>
        </is>
      </c>
      <c r="B30" s="34">
        <f>SUM(B20:B29)</f>
        <v/>
      </c>
      <c r="C30" s="34">
        <f>SUM(C20:C29)</f>
        <v/>
      </c>
      <c r="D30" s="34">
        <f>SUM(D20:D29)</f>
        <v/>
      </c>
      <c r="E30" s="34">
        <f>SUM(E20:E29)</f>
        <v/>
      </c>
      <c r="F30" s="34">
        <f>SUM(F20:F29)</f>
        <v/>
      </c>
      <c r="G30" s="34">
        <f>SUM(G20:G29)</f>
        <v/>
      </c>
      <c r="H30" s="34">
        <f>SUM(H20:H29)</f>
        <v/>
      </c>
      <c r="I30" s="34">
        <f>SUM(I20:I29)</f>
        <v/>
      </c>
      <c r="J30" s="34">
        <f>SUM(J20:J29)</f>
        <v/>
      </c>
      <c r="K30" s="34">
        <f>SUM(K20:K29)</f>
        <v/>
      </c>
      <c r="L30" s="34">
        <f>SUM(L20:L29)</f>
        <v/>
      </c>
      <c r="M30" s="34">
        <f>SUM(M20:M29)</f>
        <v/>
      </c>
      <c r="N30" s="34">
        <f>SUM(N20:N29)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2026-10-21T20:18:57Z</dcterms:created>
  <dcterms:modified xmlns:dcterms="http://purl.org/dc/terms/" xmlns:xsi="http://www.w3.org/2001/XMLSchema-instance" xsi:type="dcterms:W3CDTF">2026-10-21T20:18:57Z</dcterms:modified>
</cp:coreProperties>
</file>